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it\Cloud\Documents\Лабораторные\5 курс\2 сем\Андреева\2\моё\"/>
    </mc:Choice>
  </mc:AlternateContent>
  <xr:revisionPtr revIDLastSave="0" documentId="13_ncr:1_{F2803944-1FA3-4834-8C2C-CFB6F8145830}" xr6:coauthVersionLast="33" xr6:coauthVersionMax="33" xr10:uidLastSave="{00000000-0000-0000-0000-000000000000}"/>
  <bookViews>
    <workbookView xWindow="0" yWindow="0" windowWidth="7470" windowHeight="6495" activeTab="1" xr2:uid="{D547FE48-6E6C-48A3-8941-D996A8401F74}"/>
  </bookViews>
  <sheets>
    <sheet name="ОКР" sheetId="1" r:id="rId1"/>
    <sheet name="Номограммы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17" i="1"/>
  <c r="S16" i="1"/>
  <c r="R16" i="1"/>
  <c r="B10" i="1"/>
  <c r="C10" i="1"/>
  <c r="B11" i="1"/>
  <c r="C11" i="1"/>
  <c r="B14" i="1"/>
  <c r="B15" i="1"/>
  <c r="B16" i="1"/>
  <c r="B17" i="1"/>
  <c r="N10" i="1"/>
  <c r="O10" i="1"/>
  <c r="N11" i="1"/>
  <c r="O11" i="1"/>
  <c r="N14" i="1"/>
  <c r="N15" i="1"/>
  <c r="N16" i="1"/>
  <c r="N17" i="1"/>
  <c r="P10" i="1"/>
  <c r="Q10" i="1"/>
  <c r="P11" i="1"/>
  <c r="Q11" i="1"/>
  <c r="P14" i="1"/>
  <c r="P15" i="1"/>
  <c r="P16" i="1"/>
  <c r="P17" i="1"/>
  <c r="M16" i="1"/>
  <c r="L16" i="1"/>
  <c r="I16" i="1"/>
  <c r="H16" i="1"/>
  <c r="G16" i="1"/>
  <c r="F16" i="1"/>
  <c r="E16" i="1"/>
  <c r="D16" i="1"/>
  <c r="D117" i="2" l="1"/>
  <c r="D118" i="2"/>
  <c r="D119" i="2"/>
  <c r="D120" i="2"/>
  <c r="F120" i="2" s="1"/>
  <c r="D121" i="2"/>
  <c r="E121" i="2" s="1"/>
  <c r="D122" i="2"/>
  <c r="F122" i="2" s="1"/>
  <c r="D123" i="2"/>
  <c r="E123" i="2" s="1"/>
  <c r="D124" i="2"/>
  <c r="F124" i="2" s="1"/>
  <c r="D125" i="2"/>
  <c r="D126" i="2"/>
  <c r="D116" i="2"/>
  <c r="A117" i="2"/>
  <c r="A118" i="2"/>
  <c r="C118" i="2" s="1"/>
  <c r="A119" i="2"/>
  <c r="A120" i="2"/>
  <c r="A121" i="2"/>
  <c r="C121" i="2" s="1"/>
  <c r="A122" i="2"/>
  <c r="A123" i="2"/>
  <c r="C123" i="2" s="1"/>
  <c r="A124" i="2"/>
  <c r="C124" i="2" s="1"/>
  <c r="A125" i="2"/>
  <c r="A126" i="2"/>
  <c r="A116" i="2"/>
  <c r="D103" i="2"/>
  <c r="D104" i="2"/>
  <c r="F104" i="2" s="1"/>
  <c r="D105" i="2"/>
  <c r="D106" i="2"/>
  <c r="D107" i="2"/>
  <c r="F107" i="2" s="1"/>
  <c r="D108" i="2"/>
  <c r="F108" i="2" s="1"/>
  <c r="D109" i="2"/>
  <c r="D110" i="2"/>
  <c r="F110" i="2" s="1"/>
  <c r="D111" i="2"/>
  <c r="D112" i="2"/>
  <c r="F112" i="2" s="1"/>
  <c r="D102" i="2"/>
  <c r="A103" i="2"/>
  <c r="A104" i="2"/>
  <c r="A105" i="2"/>
  <c r="A106" i="2"/>
  <c r="C106" i="2" s="1"/>
  <c r="A107" i="2"/>
  <c r="A108" i="2"/>
  <c r="B108" i="2" s="1"/>
  <c r="A109" i="2"/>
  <c r="A110" i="2"/>
  <c r="B110" i="2" s="1"/>
  <c r="A111" i="2"/>
  <c r="A112" i="2"/>
  <c r="A102" i="2"/>
  <c r="F126" i="2"/>
  <c r="C126" i="2"/>
  <c r="B126" i="2"/>
  <c r="F125" i="2"/>
  <c r="E125" i="2"/>
  <c r="C125" i="2"/>
  <c r="C122" i="2"/>
  <c r="B122" i="2"/>
  <c r="F121" i="2"/>
  <c r="C120" i="2"/>
  <c r="F119" i="2"/>
  <c r="C119" i="2"/>
  <c r="F118" i="2"/>
  <c r="B118" i="2"/>
  <c r="G117" i="2"/>
  <c r="F117" i="2"/>
  <c r="E117" i="2"/>
  <c r="C117" i="2"/>
  <c r="H116" i="2"/>
  <c r="F116" i="2"/>
  <c r="E116" i="2"/>
  <c r="C116" i="2"/>
  <c r="C112" i="2"/>
  <c r="B112" i="2"/>
  <c r="F111" i="2"/>
  <c r="E111" i="2"/>
  <c r="B111" i="2"/>
  <c r="F109" i="2"/>
  <c r="C109" i="2"/>
  <c r="B107" i="2"/>
  <c r="F106" i="2"/>
  <c r="F105" i="2"/>
  <c r="C105" i="2"/>
  <c r="C104" i="2"/>
  <c r="B104" i="2"/>
  <c r="G103" i="2"/>
  <c r="F103" i="2"/>
  <c r="E103" i="2"/>
  <c r="B103" i="2"/>
  <c r="H102" i="2"/>
  <c r="F102" i="2"/>
  <c r="E102" i="2"/>
  <c r="C102" i="2"/>
  <c r="D89" i="2"/>
  <c r="D90" i="2"/>
  <c r="D91" i="2"/>
  <c r="D92" i="2"/>
  <c r="F92" i="2" s="1"/>
  <c r="D93" i="2"/>
  <c r="E93" i="2" s="1"/>
  <c r="D94" i="2"/>
  <c r="F94" i="2" s="1"/>
  <c r="D95" i="2"/>
  <c r="E95" i="2" s="1"/>
  <c r="D96" i="2"/>
  <c r="F96" i="2" s="1"/>
  <c r="D97" i="2"/>
  <c r="D98" i="2"/>
  <c r="D88" i="2"/>
  <c r="A89" i="2"/>
  <c r="A90" i="2"/>
  <c r="C90" i="2" s="1"/>
  <c r="A91" i="2"/>
  <c r="A92" i="2"/>
  <c r="A93" i="2"/>
  <c r="C93" i="2" s="1"/>
  <c r="A94" i="2"/>
  <c r="A95" i="2"/>
  <c r="C95" i="2" s="1"/>
  <c r="A96" i="2"/>
  <c r="C96" i="2" s="1"/>
  <c r="A97" i="2"/>
  <c r="A98" i="2"/>
  <c r="A88" i="2"/>
  <c r="D75" i="2"/>
  <c r="D76" i="2"/>
  <c r="F76" i="2" s="1"/>
  <c r="D77" i="2"/>
  <c r="D78" i="2"/>
  <c r="D79" i="2"/>
  <c r="F79" i="2" s="1"/>
  <c r="D80" i="2"/>
  <c r="E80" i="2" s="1"/>
  <c r="D81" i="2"/>
  <c r="D82" i="2"/>
  <c r="F82" i="2" s="1"/>
  <c r="D83" i="2"/>
  <c r="D84" i="2"/>
  <c r="F84" i="2" s="1"/>
  <c r="D74" i="2"/>
  <c r="A75" i="2"/>
  <c r="A76" i="2"/>
  <c r="A77" i="2"/>
  <c r="A78" i="2"/>
  <c r="C78" i="2" s="1"/>
  <c r="A79" i="2"/>
  <c r="A80" i="2"/>
  <c r="C80" i="2" s="1"/>
  <c r="A81" i="2"/>
  <c r="A82" i="2"/>
  <c r="C82" i="2" s="1"/>
  <c r="A83" i="2"/>
  <c r="A84" i="2"/>
  <c r="A74" i="2"/>
  <c r="F98" i="2"/>
  <c r="C98" i="2"/>
  <c r="B98" i="2"/>
  <c r="F97" i="2"/>
  <c r="E97" i="2"/>
  <c r="C97" i="2"/>
  <c r="C94" i="2"/>
  <c r="B94" i="2"/>
  <c r="F93" i="2"/>
  <c r="C92" i="2"/>
  <c r="F91" i="2"/>
  <c r="C91" i="2"/>
  <c r="F90" i="2"/>
  <c r="B90" i="2"/>
  <c r="G89" i="2"/>
  <c r="F89" i="2"/>
  <c r="E89" i="2"/>
  <c r="C89" i="2"/>
  <c r="H88" i="2"/>
  <c r="F88" i="2"/>
  <c r="E88" i="2"/>
  <c r="C88" i="2"/>
  <c r="C84" i="2"/>
  <c r="B84" i="2"/>
  <c r="F83" i="2"/>
  <c r="E83" i="2"/>
  <c r="B83" i="2"/>
  <c r="F81" i="2"/>
  <c r="C81" i="2"/>
  <c r="B79" i="2"/>
  <c r="F78" i="2"/>
  <c r="F77" i="2"/>
  <c r="C77" i="2"/>
  <c r="C76" i="2"/>
  <c r="B76" i="2"/>
  <c r="G75" i="2"/>
  <c r="F75" i="2"/>
  <c r="E75" i="2"/>
  <c r="B75" i="2"/>
  <c r="H74" i="2"/>
  <c r="F74" i="2"/>
  <c r="E74" i="2"/>
  <c r="C74" i="2"/>
  <c r="D61" i="2"/>
  <c r="D62" i="2"/>
  <c r="D63" i="2"/>
  <c r="D64" i="2"/>
  <c r="D65" i="2"/>
  <c r="F65" i="2" s="1"/>
  <c r="D66" i="2"/>
  <c r="F66" i="2" s="1"/>
  <c r="D67" i="2"/>
  <c r="D68" i="2"/>
  <c r="F68" i="2" s="1"/>
  <c r="D69" i="2"/>
  <c r="D70" i="2"/>
  <c r="D60" i="2"/>
  <c r="A61" i="2"/>
  <c r="A62" i="2"/>
  <c r="A63" i="2"/>
  <c r="B63" i="2" s="1"/>
  <c r="A64" i="2"/>
  <c r="A65" i="2"/>
  <c r="A66" i="2"/>
  <c r="C66" i="2" s="1"/>
  <c r="A67" i="2"/>
  <c r="A68" i="2"/>
  <c r="C68" i="2" s="1"/>
  <c r="A69" i="2"/>
  <c r="A70" i="2"/>
  <c r="A60" i="2"/>
  <c r="F70" i="2"/>
  <c r="E70" i="2"/>
  <c r="C70" i="2"/>
  <c r="B70" i="2"/>
  <c r="F69" i="2"/>
  <c r="E69" i="2"/>
  <c r="B69" i="2"/>
  <c r="F67" i="2"/>
  <c r="C67" i="2"/>
  <c r="C65" i="2"/>
  <c r="F64" i="2"/>
  <c r="C64" i="2"/>
  <c r="E63" i="2"/>
  <c r="F62" i="2"/>
  <c r="C62" i="2"/>
  <c r="B62" i="2"/>
  <c r="G61" i="2"/>
  <c r="F61" i="2"/>
  <c r="E61" i="2"/>
  <c r="B61" i="2"/>
  <c r="H60" i="2"/>
  <c r="F60" i="2"/>
  <c r="E60" i="2"/>
  <c r="C60" i="2"/>
  <c r="D47" i="2"/>
  <c r="D48" i="2"/>
  <c r="D49" i="2"/>
  <c r="D50" i="2"/>
  <c r="F50" i="2" s="1"/>
  <c r="D51" i="2"/>
  <c r="D52" i="2"/>
  <c r="E52" i="2" s="1"/>
  <c r="D53" i="2"/>
  <c r="F53" i="2" s="1"/>
  <c r="D54" i="2"/>
  <c r="F54" i="2" s="1"/>
  <c r="D55" i="2"/>
  <c r="D56" i="2"/>
  <c r="D46" i="2"/>
  <c r="A47" i="2"/>
  <c r="A48" i="2"/>
  <c r="C48" i="2" s="1"/>
  <c r="A49" i="2"/>
  <c r="A50" i="2"/>
  <c r="A51" i="2"/>
  <c r="C51" i="2" s="1"/>
  <c r="A52" i="2"/>
  <c r="C52" i="2" s="1"/>
  <c r="A53" i="2"/>
  <c r="C53" i="2" s="1"/>
  <c r="A54" i="2"/>
  <c r="C54" i="2" s="1"/>
  <c r="A55" i="2"/>
  <c r="A56" i="2"/>
  <c r="A46" i="2"/>
  <c r="D33" i="2"/>
  <c r="D34" i="2"/>
  <c r="E34" i="2" s="1"/>
  <c r="D35" i="2"/>
  <c r="D36" i="2"/>
  <c r="D37" i="2"/>
  <c r="F37" i="2" s="1"/>
  <c r="D38" i="2"/>
  <c r="F38" i="2" s="1"/>
  <c r="D39" i="2"/>
  <c r="D40" i="2"/>
  <c r="F40" i="2" s="1"/>
  <c r="D41" i="2"/>
  <c r="D42" i="2"/>
  <c r="E42" i="2" s="1"/>
  <c r="D32" i="2"/>
  <c r="A33" i="2"/>
  <c r="A34" i="2"/>
  <c r="A35" i="2"/>
  <c r="A36" i="2"/>
  <c r="C36" i="2" s="1"/>
  <c r="A37" i="2"/>
  <c r="A38" i="2"/>
  <c r="B38" i="2" s="1"/>
  <c r="A39" i="2"/>
  <c r="A40" i="2"/>
  <c r="B40" i="2" s="1"/>
  <c r="A41" i="2"/>
  <c r="A42" i="2"/>
  <c r="A32" i="2"/>
  <c r="F56" i="2"/>
  <c r="C56" i="2"/>
  <c r="B56" i="2"/>
  <c r="F55" i="2"/>
  <c r="E55" i="2"/>
  <c r="C55" i="2"/>
  <c r="B52" i="2"/>
  <c r="F51" i="2"/>
  <c r="E51" i="2"/>
  <c r="C50" i="2"/>
  <c r="F49" i="2"/>
  <c r="C49" i="2"/>
  <c r="F48" i="2"/>
  <c r="B48" i="2"/>
  <c r="G47" i="2"/>
  <c r="F47" i="2"/>
  <c r="E47" i="2"/>
  <c r="C47" i="2"/>
  <c r="H46" i="2"/>
  <c r="F46" i="2"/>
  <c r="E46" i="2"/>
  <c r="C46" i="2"/>
  <c r="C42" i="2"/>
  <c r="B42" i="2"/>
  <c r="F41" i="2"/>
  <c r="E41" i="2"/>
  <c r="B41" i="2"/>
  <c r="F39" i="2"/>
  <c r="C39" i="2"/>
  <c r="B37" i="2"/>
  <c r="F36" i="2"/>
  <c r="F35" i="2"/>
  <c r="C35" i="2"/>
  <c r="C34" i="2"/>
  <c r="B34" i="2"/>
  <c r="G33" i="2"/>
  <c r="G34" i="2" s="1"/>
  <c r="F33" i="2"/>
  <c r="E33" i="2"/>
  <c r="B33" i="2"/>
  <c r="H32" i="2"/>
  <c r="F32" i="2"/>
  <c r="E32" i="2"/>
  <c r="B32" i="2"/>
  <c r="D18" i="2"/>
  <c r="D19" i="2"/>
  <c r="D20" i="2"/>
  <c r="D21" i="2"/>
  <c r="D22" i="2"/>
  <c r="D23" i="2"/>
  <c r="D24" i="2"/>
  <c r="D25" i="2"/>
  <c r="D26" i="2"/>
  <c r="D27" i="2"/>
  <c r="D17" i="2"/>
  <c r="A18" i="2"/>
  <c r="A19" i="2"/>
  <c r="A20" i="2"/>
  <c r="A21" i="2"/>
  <c r="A22" i="2"/>
  <c r="A23" i="2"/>
  <c r="A24" i="2"/>
  <c r="A25" i="2"/>
  <c r="A26" i="2"/>
  <c r="A27" i="2"/>
  <c r="A17" i="2"/>
  <c r="D4" i="2"/>
  <c r="D5" i="2"/>
  <c r="D6" i="2"/>
  <c r="D7" i="2"/>
  <c r="D8" i="2"/>
  <c r="D9" i="2"/>
  <c r="D10" i="2"/>
  <c r="D11" i="2"/>
  <c r="D12" i="2"/>
  <c r="D13" i="2"/>
  <c r="D3" i="2"/>
  <c r="A4" i="2"/>
  <c r="A5" i="2"/>
  <c r="A6" i="2"/>
  <c r="A7" i="2"/>
  <c r="A8" i="2"/>
  <c r="A9" i="2"/>
  <c r="A10" i="2"/>
  <c r="A11" i="2"/>
  <c r="A12" i="2"/>
  <c r="A13" i="2"/>
  <c r="A3" i="2"/>
  <c r="E107" i="2" l="1"/>
  <c r="C108" i="2"/>
  <c r="B119" i="2"/>
  <c r="B123" i="2"/>
  <c r="E118" i="2"/>
  <c r="E122" i="2"/>
  <c r="E126" i="2"/>
  <c r="B120" i="2"/>
  <c r="B124" i="2"/>
  <c r="B116" i="2"/>
  <c r="I116" i="2" s="1"/>
  <c r="J116" i="2" s="1"/>
  <c r="G118" i="2"/>
  <c r="E119" i="2"/>
  <c r="B117" i="2"/>
  <c r="I117" i="2" s="1"/>
  <c r="J117" i="2" s="1"/>
  <c r="B121" i="2"/>
  <c r="F123" i="2"/>
  <c r="B125" i="2"/>
  <c r="E120" i="2"/>
  <c r="E124" i="2"/>
  <c r="H117" i="2"/>
  <c r="B105" i="2"/>
  <c r="B109" i="2"/>
  <c r="E104" i="2"/>
  <c r="E108" i="2"/>
  <c r="B102" i="2"/>
  <c r="I102" i="2" s="1"/>
  <c r="J102" i="2" s="1"/>
  <c r="E105" i="2"/>
  <c r="E109" i="2"/>
  <c r="C110" i="2"/>
  <c r="C103" i="2"/>
  <c r="E106" i="2"/>
  <c r="C107" i="2"/>
  <c r="E110" i="2"/>
  <c r="C111" i="2"/>
  <c r="E112" i="2"/>
  <c r="H103" i="2"/>
  <c r="B106" i="2"/>
  <c r="G104" i="2"/>
  <c r="E79" i="2"/>
  <c r="B80" i="2"/>
  <c r="B91" i="2"/>
  <c r="B95" i="2"/>
  <c r="E98" i="2"/>
  <c r="E90" i="2"/>
  <c r="E94" i="2"/>
  <c r="B92" i="2"/>
  <c r="B96" i="2"/>
  <c r="B88" i="2"/>
  <c r="I88" i="2" s="1"/>
  <c r="J88" i="2" s="1"/>
  <c r="E91" i="2"/>
  <c r="B89" i="2"/>
  <c r="I89" i="2" s="1"/>
  <c r="J89" i="2" s="1"/>
  <c r="B93" i="2"/>
  <c r="F95" i="2"/>
  <c r="B97" i="2"/>
  <c r="E92" i="2"/>
  <c r="E96" i="2"/>
  <c r="H89" i="2"/>
  <c r="G90" i="2"/>
  <c r="B77" i="2"/>
  <c r="B81" i="2"/>
  <c r="E76" i="2"/>
  <c r="E84" i="2"/>
  <c r="F80" i="2"/>
  <c r="H75" i="2"/>
  <c r="I75" i="2" s="1"/>
  <c r="J75" i="2" s="1"/>
  <c r="B78" i="2"/>
  <c r="B82" i="2"/>
  <c r="B74" i="2"/>
  <c r="I74" i="2" s="1"/>
  <c r="J74" i="2" s="1"/>
  <c r="G76" i="2"/>
  <c r="E81" i="2"/>
  <c r="C75" i="2"/>
  <c r="E78" i="2"/>
  <c r="C79" i="2"/>
  <c r="E82" i="2"/>
  <c r="C83" i="2"/>
  <c r="E77" i="2"/>
  <c r="E65" i="2"/>
  <c r="B66" i="2"/>
  <c r="C63" i="2"/>
  <c r="H61" i="2"/>
  <c r="F63" i="2"/>
  <c r="B67" i="2"/>
  <c r="E62" i="2"/>
  <c r="E66" i="2"/>
  <c r="B64" i="2"/>
  <c r="B68" i="2"/>
  <c r="B60" i="2"/>
  <c r="I60" i="2" s="1"/>
  <c r="J60" i="2" s="1"/>
  <c r="G62" i="2"/>
  <c r="E67" i="2"/>
  <c r="C61" i="2"/>
  <c r="I61" i="2" s="1"/>
  <c r="J61" i="2" s="1"/>
  <c r="E68" i="2"/>
  <c r="C69" i="2"/>
  <c r="B65" i="2"/>
  <c r="E64" i="2"/>
  <c r="E37" i="2"/>
  <c r="C38" i="2"/>
  <c r="B53" i="2"/>
  <c r="B49" i="2"/>
  <c r="E48" i="2"/>
  <c r="F52" i="2"/>
  <c r="E56" i="2"/>
  <c r="H47" i="2"/>
  <c r="B50" i="2"/>
  <c r="B54" i="2"/>
  <c r="B46" i="2"/>
  <c r="I46" i="2" s="1"/>
  <c r="J46" i="2" s="1"/>
  <c r="G48" i="2"/>
  <c r="E49" i="2"/>
  <c r="E53" i="2"/>
  <c r="B47" i="2"/>
  <c r="B51" i="2"/>
  <c r="B55" i="2"/>
  <c r="E50" i="2"/>
  <c r="E54" i="2"/>
  <c r="H34" i="2"/>
  <c r="G35" i="2"/>
  <c r="B35" i="2"/>
  <c r="B39" i="2"/>
  <c r="F34" i="2"/>
  <c r="B36" i="2"/>
  <c r="F42" i="2"/>
  <c r="E35" i="2"/>
  <c r="C40" i="2"/>
  <c r="C32" i="2"/>
  <c r="I32" i="2" s="1"/>
  <c r="J32" i="2" s="1"/>
  <c r="C33" i="2"/>
  <c r="E36" i="2"/>
  <c r="C37" i="2"/>
  <c r="E40" i="2"/>
  <c r="C41" i="2"/>
  <c r="E38" i="2"/>
  <c r="H33" i="2"/>
  <c r="E39" i="2"/>
  <c r="I103" i="2" l="1"/>
  <c r="J103" i="2" s="1"/>
  <c r="G119" i="2"/>
  <c r="H118" i="2"/>
  <c r="I118" i="2" s="1"/>
  <c r="J118" i="2" s="1"/>
  <c r="G105" i="2"/>
  <c r="H104" i="2"/>
  <c r="I104" i="2" s="1"/>
  <c r="J104" i="2" s="1"/>
  <c r="I90" i="2"/>
  <c r="J90" i="2"/>
  <c r="G91" i="2"/>
  <c r="H90" i="2"/>
  <c r="H76" i="2"/>
  <c r="I76" i="2" s="1"/>
  <c r="J76" i="2" s="1"/>
  <c r="G77" i="2"/>
  <c r="G63" i="2"/>
  <c r="H62" i="2"/>
  <c r="I62" i="2" s="1"/>
  <c r="J62" i="2" s="1"/>
  <c r="I34" i="2"/>
  <c r="J34" i="2" s="1"/>
  <c r="I33" i="2"/>
  <c r="J33" i="2" s="1"/>
  <c r="G49" i="2"/>
  <c r="H48" i="2"/>
  <c r="I48" i="2" s="1"/>
  <c r="J48" i="2" s="1"/>
  <c r="I47" i="2"/>
  <c r="J47" i="2" s="1"/>
  <c r="H35" i="2"/>
  <c r="G36" i="2"/>
  <c r="I35" i="2"/>
  <c r="J35" i="2" s="1"/>
  <c r="H119" i="2" l="1"/>
  <c r="I119" i="2" s="1"/>
  <c r="J119" i="2"/>
  <c r="G120" i="2"/>
  <c r="H105" i="2"/>
  <c r="I105" i="2" s="1"/>
  <c r="J105" i="2"/>
  <c r="G106" i="2"/>
  <c r="H91" i="2"/>
  <c r="I91" i="2" s="1"/>
  <c r="G92" i="2"/>
  <c r="J91" i="2"/>
  <c r="H77" i="2"/>
  <c r="I77" i="2" s="1"/>
  <c r="G78" i="2"/>
  <c r="J77" i="2"/>
  <c r="H63" i="2"/>
  <c r="I63" i="2" s="1"/>
  <c r="G64" i="2"/>
  <c r="J63" i="2"/>
  <c r="H49" i="2"/>
  <c r="I49" i="2" s="1"/>
  <c r="J49" i="2" s="1"/>
  <c r="G50" i="2"/>
  <c r="G37" i="2"/>
  <c r="H36" i="2"/>
  <c r="I36" i="2" s="1"/>
  <c r="J36" i="2" s="1"/>
  <c r="G121" i="2" l="1"/>
  <c r="H120" i="2"/>
  <c r="I120" i="2" s="1"/>
  <c r="J120" i="2" s="1"/>
  <c r="G107" i="2"/>
  <c r="H106" i="2"/>
  <c r="I106" i="2" s="1"/>
  <c r="J106" i="2" s="1"/>
  <c r="G93" i="2"/>
  <c r="H92" i="2"/>
  <c r="I92" i="2" s="1"/>
  <c r="J92" i="2" s="1"/>
  <c r="G79" i="2"/>
  <c r="H78" i="2"/>
  <c r="I78" i="2" s="1"/>
  <c r="J78" i="2" s="1"/>
  <c r="G65" i="2"/>
  <c r="H64" i="2"/>
  <c r="I64" i="2" s="1"/>
  <c r="J64" i="2" s="1"/>
  <c r="G51" i="2"/>
  <c r="H50" i="2"/>
  <c r="I50" i="2" s="1"/>
  <c r="J50" i="2" s="1"/>
  <c r="G38" i="2"/>
  <c r="H37" i="2"/>
  <c r="I37" i="2" s="1"/>
  <c r="J37" i="2" s="1"/>
  <c r="F27" i="2"/>
  <c r="E27" i="2"/>
  <c r="C27" i="2"/>
  <c r="B27" i="2"/>
  <c r="F26" i="2"/>
  <c r="E26" i="2"/>
  <c r="C26" i="2"/>
  <c r="B26" i="2"/>
  <c r="F25" i="2"/>
  <c r="E25" i="2"/>
  <c r="C25" i="2"/>
  <c r="B25" i="2"/>
  <c r="F24" i="2"/>
  <c r="E24" i="2"/>
  <c r="C24" i="2"/>
  <c r="B24" i="2"/>
  <c r="F23" i="2"/>
  <c r="E23" i="2"/>
  <c r="C23" i="2"/>
  <c r="B23" i="2"/>
  <c r="F22" i="2"/>
  <c r="E22" i="2"/>
  <c r="C22" i="2"/>
  <c r="B22" i="2"/>
  <c r="F21" i="2"/>
  <c r="E21" i="2"/>
  <c r="C21" i="2"/>
  <c r="B21" i="2"/>
  <c r="F20" i="2"/>
  <c r="E20" i="2"/>
  <c r="C20" i="2"/>
  <c r="B20" i="2"/>
  <c r="F19" i="2"/>
  <c r="E19" i="2"/>
  <c r="C19" i="2"/>
  <c r="B19" i="2"/>
  <c r="G18" i="2"/>
  <c r="H18" i="2" s="1"/>
  <c r="F18" i="2"/>
  <c r="E18" i="2"/>
  <c r="C18" i="2"/>
  <c r="B18" i="2"/>
  <c r="H17" i="2"/>
  <c r="F17" i="2"/>
  <c r="E17" i="2"/>
  <c r="C17" i="2"/>
  <c r="B17" i="2"/>
  <c r="F13" i="2"/>
  <c r="E13" i="2"/>
  <c r="C13" i="2"/>
  <c r="B13" i="2"/>
  <c r="F12" i="2"/>
  <c r="E12" i="2"/>
  <c r="C12" i="2"/>
  <c r="B12" i="2"/>
  <c r="F11" i="2"/>
  <c r="E11" i="2"/>
  <c r="C11" i="2"/>
  <c r="B11" i="2"/>
  <c r="F10" i="2"/>
  <c r="E10" i="2"/>
  <c r="C10" i="2"/>
  <c r="B10" i="2"/>
  <c r="F9" i="2"/>
  <c r="E9" i="2"/>
  <c r="C9" i="2"/>
  <c r="B9" i="2"/>
  <c r="F8" i="2"/>
  <c r="E8" i="2"/>
  <c r="C8" i="2"/>
  <c r="B8" i="2"/>
  <c r="F7" i="2"/>
  <c r="E7" i="2"/>
  <c r="C7" i="2"/>
  <c r="B7" i="2"/>
  <c r="F6" i="2"/>
  <c r="E6" i="2"/>
  <c r="C6" i="2"/>
  <c r="B6" i="2"/>
  <c r="F5" i="2"/>
  <c r="E5" i="2"/>
  <c r="C5" i="2"/>
  <c r="B5" i="2"/>
  <c r="G4" i="2"/>
  <c r="H4" i="2" s="1"/>
  <c r="F4" i="2"/>
  <c r="E4" i="2"/>
  <c r="C4" i="2"/>
  <c r="B4" i="2"/>
  <c r="I3" i="2"/>
  <c r="J3" i="2" s="1"/>
  <c r="H3" i="2"/>
  <c r="F3" i="2"/>
  <c r="E3" i="2"/>
  <c r="C3" i="2"/>
  <c r="B3" i="2"/>
  <c r="G122" i="2" l="1"/>
  <c r="H121" i="2"/>
  <c r="I121" i="2" s="1"/>
  <c r="J121" i="2" s="1"/>
  <c r="G108" i="2"/>
  <c r="H107" i="2"/>
  <c r="I107" i="2" s="1"/>
  <c r="J107" i="2" s="1"/>
  <c r="G94" i="2"/>
  <c r="H93" i="2"/>
  <c r="I93" i="2" s="1"/>
  <c r="J93" i="2" s="1"/>
  <c r="G80" i="2"/>
  <c r="H79" i="2"/>
  <c r="I79" i="2" s="1"/>
  <c r="J79" i="2" s="1"/>
  <c r="G66" i="2"/>
  <c r="H65" i="2"/>
  <c r="I65" i="2" s="1"/>
  <c r="J65" i="2" s="1"/>
  <c r="G52" i="2"/>
  <c r="H51" i="2"/>
  <c r="I51" i="2" s="1"/>
  <c r="J51" i="2" s="1"/>
  <c r="H38" i="2"/>
  <c r="I38" i="2" s="1"/>
  <c r="J38" i="2" s="1"/>
  <c r="G39" i="2"/>
  <c r="I18" i="2"/>
  <c r="J18" i="2" s="1"/>
  <c r="I17" i="2"/>
  <c r="J17" i="2" s="1"/>
  <c r="I4" i="2"/>
  <c r="J4" i="2" s="1"/>
  <c r="G19" i="2"/>
  <c r="G5" i="2"/>
  <c r="G123" i="2" l="1"/>
  <c r="H122" i="2"/>
  <c r="I122" i="2" s="1"/>
  <c r="J122" i="2" s="1"/>
  <c r="H108" i="2"/>
  <c r="I108" i="2" s="1"/>
  <c r="J108" i="2" s="1"/>
  <c r="G109" i="2"/>
  <c r="G95" i="2"/>
  <c r="H94" i="2"/>
  <c r="I94" i="2" s="1"/>
  <c r="J94" i="2" s="1"/>
  <c r="H80" i="2"/>
  <c r="I80" i="2" s="1"/>
  <c r="J80" i="2" s="1"/>
  <c r="G81" i="2"/>
  <c r="H66" i="2"/>
  <c r="I66" i="2" s="1"/>
  <c r="J66" i="2" s="1"/>
  <c r="G67" i="2"/>
  <c r="G53" i="2"/>
  <c r="H52" i="2"/>
  <c r="I52" i="2" s="1"/>
  <c r="J52" i="2" s="1"/>
  <c r="H39" i="2"/>
  <c r="I39" i="2" s="1"/>
  <c r="J39" i="2"/>
  <c r="G40" i="2"/>
  <c r="H5" i="2"/>
  <c r="I5" i="2" s="1"/>
  <c r="G6" i="2"/>
  <c r="J5" i="2"/>
  <c r="G20" i="2"/>
  <c r="H19" i="2"/>
  <c r="I19" i="2" s="1"/>
  <c r="J19" i="2"/>
  <c r="H123" i="2" l="1"/>
  <c r="I123" i="2" s="1"/>
  <c r="G124" i="2"/>
  <c r="J123" i="2"/>
  <c r="H109" i="2"/>
  <c r="I109" i="2" s="1"/>
  <c r="J109" i="2"/>
  <c r="G110" i="2"/>
  <c r="H95" i="2"/>
  <c r="I95" i="2" s="1"/>
  <c r="J95" i="2"/>
  <c r="G96" i="2"/>
  <c r="H81" i="2"/>
  <c r="I81" i="2" s="1"/>
  <c r="G82" i="2"/>
  <c r="J81" i="2"/>
  <c r="H67" i="2"/>
  <c r="I67" i="2" s="1"/>
  <c r="J67" i="2"/>
  <c r="G68" i="2"/>
  <c r="H53" i="2"/>
  <c r="I53" i="2" s="1"/>
  <c r="G54" i="2"/>
  <c r="J53" i="2"/>
  <c r="G41" i="2"/>
  <c r="H40" i="2"/>
  <c r="I40" i="2" s="1"/>
  <c r="J40" i="2" s="1"/>
  <c r="G21" i="2"/>
  <c r="H20" i="2"/>
  <c r="I20" i="2" s="1"/>
  <c r="J20" i="2"/>
  <c r="H6" i="2"/>
  <c r="I6" i="2" s="1"/>
  <c r="J6" i="2" s="1"/>
  <c r="G7" i="2"/>
  <c r="G125" i="2" l="1"/>
  <c r="H124" i="2"/>
  <c r="I124" i="2" s="1"/>
  <c r="J124" i="2" s="1"/>
  <c r="G111" i="2"/>
  <c r="H110" i="2"/>
  <c r="I110" i="2" s="1"/>
  <c r="J110" i="2" s="1"/>
  <c r="G97" i="2"/>
  <c r="H96" i="2"/>
  <c r="I96" i="2" s="1"/>
  <c r="J96" i="2" s="1"/>
  <c r="G83" i="2"/>
  <c r="H82" i="2"/>
  <c r="I82" i="2" s="1"/>
  <c r="J82" i="2" s="1"/>
  <c r="G69" i="2"/>
  <c r="H68" i="2"/>
  <c r="I68" i="2" s="1"/>
  <c r="J68" i="2" s="1"/>
  <c r="G55" i="2"/>
  <c r="H54" i="2"/>
  <c r="I54" i="2" s="1"/>
  <c r="J54" i="2" s="1"/>
  <c r="G42" i="2"/>
  <c r="H41" i="2"/>
  <c r="I41" i="2" s="1"/>
  <c r="J41" i="2" s="1"/>
  <c r="H7" i="2"/>
  <c r="I7" i="2" s="1"/>
  <c r="G8" i="2"/>
  <c r="J7" i="2"/>
  <c r="G22" i="2"/>
  <c r="H21" i="2"/>
  <c r="I21" i="2" s="1"/>
  <c r="J21" i="2"/>
  <c r="H125" i="2" l="1"/>
  <c r="I125" i="2" s="1"/>
  <c r="J125" i="2" s="1"/>
  <c r="G126" i="2"/>
  <c r="G112" i="2"/>
  <c r="H111" i="2"/>
  <c r="I111" i="2" s="1"/>
  <c r="J111" i="2" s="1"/>
  <c r="G98" i="2"/>
  <c r="H97" i="2"/>
  <c r="I97" i="2" s="1"/>
  <c r="J97" i="2"/>
  <c r="G84" i="2"/>
  <c r="H83" i="2"/>
  <c r="I83" i="2" s="1"/>
  <c r="J83" i="2"/>
  <c r="G70" i="2"/>
  <c r="H69" i="2"/>
  <c r="I69" i="2" s="1"/>
  <c r="J69" i="2" s="1"/>
  <c r="G56" i="2"/>
  <c r="H55" i="2"/>
  <c r="I55" i="2" s="1"/>
  <c r="J55" i="2" s="1"/>
  <c r="H42" i="2"/>
  <c r="I42" i="2" s="1"/>
  <c r="J42" i="2" s="1"/>
  <c r="G23" i="2"/>
  <c r="H22" i="2"/>
  <c r="I22" i="2" s="1"/>
  <c r="J22" i="2" s="1"/>
  <c r="H8" i="2"/>
  <c r="I8" i="2" s="1"/>
  <c r="J8" i="2" s="1"/>
  <c r="G9" i="2"/>
  <c r="H126" i="2" l="1"/>
  <c r="I126" i="2" s="1"/>
  <c r="J126" i="2" s="1"/>
  <c r="H112" i="2"/>
  <c r="I112" i="2" s="1"/>
  <c r="J112" i="2" s="1"/>
  <c r="H98" i="2"/>
  <c r="I98" i="2" s="1"/>
  <c r="J98" i="2" s="1"/>
  <c r="H84" i="2"/>
  <c r="I84" i="2" s="1"/>
  <c r="J84" i="2" s="1"/>
  <c r="H70" i="2"/>
  <c r="I70" i="2" s="1"/>
  <c r="J70" i="2" s="1"/>
  <c r="H56" i="2"/>
  <c r="I56" i="2" s="1"/>
  <c r="J56" i="2" s="1"/>
  <c r="H9" i="2"/>
  <c r="I9" i="2" s="1"/>
  <c r="G10" i="2"/>
  <c r="J9" i="2"/>
  <c r="G24" i="2"/>
  <c r="H23" i="2"/>
  <c r="I23" i="2" s="1"/>
  <c r="J23" i="2"/>
  <c r="G25" i="2" l="1"/>
  <c r="H24" i="2"/>
  <c r="I24" i="2" s="1"/>
  <c r="J24" i="2"/>
  <c r="H10" i="2"/>
  <c r="I10" i="2" s="1"/>
  <c r="G11" i="2"/>
  <c r="J10" i="2"/>
  <c r="H11" i="2" l="1"/>
  <c r="I11" i="2" s="1"/>
  <c r="G12" i="2"/>
  <c r="J11" i="2"/>
  <c r="G26" i="2"/>
  <c r="H25" i="2"/>
  <c r="I25" i="2" s="1"/>
  <c r="J25" i="2" s="1"/>
  <c r="G27" i="2" l="1"/>
  <c r="H26" i="2"/>
  <c r="I26" i="2" s="1"/>
  <c r="J26" i="2"/>
  <c r="H12" i="2"/>
  <c r="I12" i="2" s="1"/>
  <c r="J12" i="2" s="1"/>
  <c r="G13" i="2"/>
  <c r="H13" i="2" l="1"/>
  <c r="I13" i="2" s="1"/>
  <c r="J13" i="2"/>
  <c r="H27" i="2"/>
  <c r="I27" i="2" s="1"/>
  <c r="J27" i="2"/>
  <c r="S3" i="1" l="1"/>
  <c r="S2" i="1"/>
  <c r="R3" i="1"/>
  <c r="R9" i="1"/>
  <c r="R2" i="1"/>
  <c r="Q3" i="1"/>
  <c r="Q6" i="1" s="1"/>
  <c r="Q2" i="1"/>
  <c r="P3" i="1"/>
  <c r="P6" i="1" s="1"/>
  <c r="P2" i="1"/>
  <c r="P9" i="1"/>
  <c r="P8" i="1"/>
  <c r="S6" i="1"/>
  <c r="R6" i="1"/>
  <c r="O3" i="1"/>
  <c r="O6" i="1" s="1"/>
  <c r="O2" i="1"/>
  <c r="N3" i="1"/>
  <c r="N2" i="1"/>
  <c r="M3" i="1"/>
  <c r="M6" i="1" s="1"/>
  <c r="M2" i="1"/>
  <c r="L3" i="1"/>
  <c r="L6" i="1" s="1"/>
  <c r="L2" i="1"/>
  <c r="N9" i="1"/>
  <c r="N8" i="1"/>
  <c r="N6" i="1"/>
  <c r="K3" i="1"/>
  <c r="K2" i="1"/>
  <c r="J3" i="1"/>
  <c r="J6" i="1" s="1"/>
  <c r="J2" i="1"/>
  <c r="I3" i="1"/>
  <c r="I2" i="1"/>
  <c r="H3" i="1"/>
  <c r="H2" i="1"/>
  <c r="G3" i="1"/>
  <c r="G2" i="1"/>
  <c r="F3" i="1"/>
  <c r="F6" i="1" s="1"/>
  <c r="F2" i="1"/>
  <c r="E3" i="1"/>
  <c r="E2" i="1"/>
  <c r="D3" i="1"/>
  <c r="D2" i="1"/>
  <c r="B3" i="1"/>
  <c r="B6" i="1" s="1"/>
  <c r="B2" i="1"/>
  <c r="C3" i="1"/>
  <c r="C6" i="1" s="1"/>
  <c r="C2" i="1"/>
  <c r="L9" i="1"/>
  <c r="J9" i="1"/>
  <c r="H9" i="1"/>
  <c r="F9" i="1"/>
  <c r="D9" i="1"/>
  <c r="B9" i="1"/>
  <c r="L8" i="1"/>
  <c r="J8" i="1"/>
  <c r="H8" i="1"/>
  <c r="F8" i="1"/>
  <c r="D8" i="1"/>
  <c r="B8" i="1"/>
  <c r="I6" i="1"/>
  <c r="H6" i="1"/>
  <c r="G6" i="1"/>
  <c r="G10" i="1" s="1"/>
  <c r="K6" i="1"/>
  <c r="E6" i="1"/>
  <c r="D6" i="1"/>
  <c r="F10" i="1" l="1"/>
  <c r="H10" i="1"/>
  <c r="I10" i="1"/>
  <c r="R8" i="1"/>
  <c r="P7" i="1"/>
  <c r="R10" i="1"/>
  <c r="S10" i="1"/>
  <c r="R7" i="1"/>
  <c r="N7" i="1"/>
  <c r="H7" i="1"/>
  <c r="J11" i="1"/>
  <c r="B7" i="1"/>
  <c r="J7" i="1"/>
  <c r="K11" i="1"/>
  <c r="D10" i="1"/>
  <c r="L10" i="1"/>
  <c r="E10" i="1"/>
  <c r="D7" i="1"/>
  <c r="M10" i="1"/>
  <c r="L7" i="1"/>
  <c r="F7" i="1"/>
</calcChain>
</file>

<file path=xl/sharedStrings.xml><?xml version="1.0" encoding="utf-8"?>
<sst xmlns="http://schemas.openxmlformats.org/spreadsheetml/2006/main" count="157" uniqueCount="36">
  <si>
    <t>№</t>
  </si>
  <si>
    <t>1,1 (1)</t>
  </si>
  <si>
    <t>I</t>
  </si>
  <si>
    <t>B</t>
  </si>
  <si>
    <t>Ѳmax</t>
  </si>
  <si>
    <t>b</t>
  </si>
  <si>
    <t>β</t>
  </si>
  <si>
    <t>β2/β1</t>
  </si>
  <si>
    <t>cosѲ1/cosѲ2</t>
  </si>
  <si>
    <t>tgѲ2/tgѲ1</t>
  </si>
  <si>
    <t>ε</t>
  </si>
  <si>
    <t>D, А</t>
  </si>
  <si>
    <t>m1/b1</t>
  </si>
  <si>
    <t>n2/b2</t>
  </si>
  <si>
    <t>m1</t>
  </si>
  <si>
    <t>n2</t>
  </si>
  <si>
    <t>ε'</t>
  </si>
  <si>
    <t>D', А</t>
  </si>
  <si>
    <t>1,2 (1)</t>
  </si>
  <si>
    <t>2,1 (1)</t>
  </si>
  <si>
    <t>2,2 (1)</t>
  </si>
  <si>
    <t>3,1 (1)</t>
  </si>
  <si>
    <t>4,1 (1)</t>
  </si>
  <si>
    <t>4,2 (1)</t>
  </si>
  <si>
    <t>5,1 (1)</t>
  </si>
  <si>
    <t>5,2 (1)</t>
  </si>
  <si>
    <t>Ѳ1</t>
  </si>
  <si>
    <t>cos(Ѳ1)</t>
  </si>
  <si>
    <t>tg(Ѳ1)</t>
  </si>
  <si>
    <t>Ѳ2</t>
  </si>
  <si>
    <t>cos(Ѳ2)</t>
  </si>
  <si>
    <t>tg(Ѳ2)</t>
  </si>
  <si>
    <t>n1/β1</t>
  </si>
  <si>
    <t>m1/β1</t>
  </si>
  <si>
    <t>n2/β2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</si>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</sst>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02405949256366E-2"/>
          <c:y val="4.8062855779391213E-2"/>
          <c:w val="0.69687007874015761"/>
          <c:h val="0.80796877663019406"/>
        </c:manualLayout>
      </c:layout>
      <c:scatterChart>
        <c:scatterStyle val="smoothMarker"/>
        <c:varyColors val="0"/>
        <c:ser>
          <c:idx val="0"/>
          <c:order val="0"/>
          <c:tx>
            <c:v>m1/b1</c:v>
          </c:tx>
          <c:xVal>
            <c:numRef>
              <c:f>Номограммы!$I$3:$I$13</c:f>
              <c:numCache>
                <c:formatCode>General</c:formatCode>
                <c:ptCount val="11"/>
                <c:pt idx="0">
                  <c:v>0.51392649366173293</c:v>
                </c:pt>
                <c:pt idx="1">
                  <c:v>0.55693288130020902</c:v>
                </c:pt>
                <c:pt idx="2">
                  <c:v>0.62531217347408852</c:v>
                </c:pt>
                <c:pt idx="3">
                  <c:v>0.69754878143000187</c:v>
                </c:pt>
                <c:pt idx="4">
                  <c:v>0.77004641256737372</c:v>
                </c:pt>
                <c:pt idx="5">
                  <c:v>0.84191267279946114</c:v>
                </c:pt>
                <c:pt idx="6">
                  <c:v>0.91292211661841483</c:v>
                </c:pt>
                <c:pt idx="7">
                  <c:v>0.98305187374415326</c:v>
                </c:pt>
                <c:pt idx="8">
                  <c:v>1.0523448562185969</c:v>
                </c:pt>
                <c:pt idx="9">
                  <c:v>1.1208633234316716</c:v>
                </c:pt>
                <c:pt idx="10">
                  <c:v>1.1886719878119618</c:v>
                </c:pt>
              </c:numCache>
            </c:numRef>
          </c:xVal>
          <c:yVal>
            <c:numRef>
              <c:f>Номограммы!$H$3:$H$13</c:f>
              <c:numCache>
                <c:formatCode>General</c:formatCode>
                <c:ptCount val="11"/>
                <c:pt idx="0">
                  <c:v>1</c:v>
                </c:pt>
                <c:pt idx="1">
                  <c:v>0.97082039324993685</c:v>
                </c:pt>
                <c:pt idx="2">
                  <c:v>0.906225774829855</c:v>
                </c:pt>
                <c:pt idx="3">
                  <c:v>0.82195444572928866</c:v>
                </c:pt>
                <c:pt idx="4">
                  <c:v>0.72469507659595989</c:v>
                </c:pt>
                <c:pt idx="5">
                  <c:v>0.6180339887498949</c:v>
                </c:pt>
                <c:pt idx="6">
                  <c:v>0.50415945787922967</c:v>
                </c:pt>
                <c:pt idx="7">
                  <c:v>0.38452325786651298</c:v>
                </c:pt>
                <c:pt idx="8">
                  <c:v>0.26014705087354439</c:v>
                </c:pt>
                <c:pt idx="9">
                  <c:v>0.13178210632763543</c:v>
                </c:pt>
                <c:pt idx="10">
                  <c:v>2.2204460492503131E-16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35-492F-A2CC-42C6AC993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05632"/>
        <c:axId val="87607552"/>
      </c:scatterChart>
      <c:scatterChart>
        <c:scatterStyle val="smoothMarker"/>
        <c:varyColors val="0"/>
        <c:ser>
          <c:idx val="1"/>
          <c:order val="1"/>
          <c:tx>
            <c:v>n2/b2</c:v>
          </c:tx>
          <c:xVal>
            <c:numRef>
              <c:f>Номограммы!$I$3:$I$13</c:f>
              <c:numCache>
                <c:formatCode>General</c:formatCode>
                <c:ptCount val="11"/>
                <c:pt idx="0">
                  <c:v>0.51392649366173293</c:v>
                </c:pt>
                <c:pt idx="1">
                  <c:v>0.55693288130020902</c:v>
                </c:pt>
                <c:pt idx="2">
                  <c:v>0.62531217347408852</c:v>
                </c:pt>
                <c:pt idx="3">
                  <c:v>0.69754878143000187</c:v>
                </c:pt>
                <c:pt idx="4">
                  <c:v>0.77004641256737372</c:v>
                </c:pt>
                <c:pt idx="5">
                  <c:v>0.84191267279946114</c:v>
                </c:pt>
                <c:pt idx="6">
                  <c:v>0.91292211661841483</c:v>
                </c:pt>
                <c:pt idx="7">
                  <c:v>0.98305187374415326</c:v>
                </c:pt>
                <c:pt idx="8">
                  <c:v>1.0523448562185969</c:v>
                </c:pt>
                <c:pt idx="9">
                  <c:v>1.1208633234316716</c:v>
                </c:pt>
                <c:pt idx="10">
                  <c:v>1.1886719878119618</c:v>
                </c:pt>
              </c:numCache>
            </c:numRef>
          </c:xVal>
          <c:yVal>
            <c:numRef>
              <c:f>Номограммы!$J$3:$J$13</c:f>
              <c:numCache>
                <c:formatCode>General</c:formatCode>
                <c:ptCount val="11"/>
                <c:pt idx="0">
                  <c:v>0</c:v>
                </c:pt>
                <c:pt idx="1">
                  <c:v>0.21343182055203894</c:v>
                </c:pt>
                <c:pt idx="2">
                  <c:v>0.3801851421532314</c:v>
                </c:pt>
                <c:pt idx="3">
                  <c:v>0.5112210154142075</c:v>
                </c:pt>
                <c:pt idx="4">
                  <c:v>0.61745472398156864</c:v>
                </c:pt>
                <c:pt idx="5">
                  <c:v>0.70593544094037952</c:v>
                </c:pt>
                <c:pt idx="6">
                  <c:v>0.78123114743783062</c:v>
                </c:pt>
                <c:pt idx="7">
                  <c:v>0.84641554905873262</c:v>
                </c:pt>
                <c:pt idx="8">
                  <c:v>0.9036368492991782</c:v>
                </c:pt>
                <c:pt idx="9">
                  <c:v>0.95444713611951959</c:v>
                </c:pt>
                <c:pt idx="1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C35-492F-A2CC-42C6AC993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79552"/>
        <c:axId val="123478016"/>
      </c:scatterChart>
      <c:valAx>
        <c:axId val="87605632"/>
        <c:scaling>
          <c:orientation val="minMax"/>
          <c:max val="1.2"/>
          <c:min val="0.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b2/b1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36887489063867029"/>
              <c:y val="0.9341773187442478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87607552"/>
        <c:crosses val="autoZero"/>
        <c:crossBetween val="midCat"/>
      </c:valAx>
      <c:valAx>
        <c:axId val="87607552"/>
        <c:scaling>
          <c:orientation val="minMax"/>
          <c:max val="1"/>
        </c:scaling>
        <c:delete val="0"/>
        <c:axPos val="l"/>
        <c:majorGridlines/>
        <c:minorGridlines/>
        <c:numFmt formatCode="General" sourceLinked="1"/>
        <c:majorTickMark val="none"/>
        <c:minorTickMark val="none"/>
        <c:tickLblPos val="nextTo"/>
        <c:crossAx val="87605632"/>
        <c:crosses val="autoZero"/>
        <c:crossBetween val="midCat"/>
      </c:valAx>
      <c:valAx>
        <c:axId val="123478016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23479552"/>
        <c:crosses val="max"/>
        <c:crossBetween val="midCat"/>
      </c:valAx>
      <c:valAx>
        <c:axId val="123479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4780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098600174978133"/>
          <c:y val="0.42604799400074994"/>
          <c:w val="0.15835418912884855"/>
          <c:h val="0.1524605982631071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02405949256366E-2"/>
          <c:y val="4.6551445220290852E-2"/>
          <c:w val="0.70242563429571314"/>
          <c:h val="0.8014288779940244"/>
        </c:manualLayout>
      </c:layout>
      <c:scatterChart>
        <c:scatterStyle val="smoothMarker"/>
        <c:varyColors val="0"/>
        <c:ser>
          <c:idx val="0"/>
          <c:order val="0"/>
          <c:tx>
            <c:v>m1/b1</c:v>
          </c:tx>
          <c:xVal>
            <c:numRef>
              <c:f>Номограммы!$I$17:$I$27</c:f>
              <c:numCache>
                <c:formatCode>General</c:formatCode>
                <c:ptCount val="11"/>
                <c:pt idx="0">
                  <c:v>0.51436615858682233</c:v>
                </c:pt>
                <c:pt idx="1">
                  <c:v>0.55735912059597048</c:v>
                </c:pt>
                <c:pt idx="2">
                  <c:v>0.62572570959752671</c:v>
                </c:pt>
                <c:pt idx="3">
                  <c:v>0.69795199269645491</c:v>
                </c:pt>
                <c:pt idx="4">
                  <c:v>0.77044021634882676</c:v>
                </c:pt>
                <c:pt idx="5">
                  <c:v>0.84229731376639105</c:v>
                </c:pt>
                <c:pt idx="6">
                  <c:v>0.91329753974134376</c:v>
                </c:pt>
                <c:pt idx="7">
                  <c:v>0.98341788845948264</c:v>
                </c:pt>
                <c:pt idx="8">
                  <c:v>1.0527012124666204</c:v>
                </c:pt>
                <c:pt idx="9">
                  <c:v>1.1212097486106167</c:v>
                </c:pt>
                <c:pt idx="10">
                  <c:v>1.1890082052879605</c:v>
                </c:pt>
              </c:numCache>
            </c:numRef>
          </c:xVal>
          <c:yVal>
            <c:numRef>
              <c:f>Номограммы!$H$17:$H$27</c:f>
              <c:numCache>
                <c:formatCode>General</c:formatCode>
                <c:ptCount val="11"/>
                <c:pt idx="0">
                  <c:v>1</c:v>
                </c:pt>
                <c:pt idx="1">
                  <c:v>0.97082039324993685</c:v>
                </c:pt>
                <c:pt idx="2">
                  <c:v>0.906225774829855</c:v>
                </c:pt>
                <c:pt idx="3">
                  <c:v>0.82195444572928866</c:v>
                </c:pt>
                <c:pt idx="4">
                  <c:v>0.72469507659595989</c:v>
                </c:pt>
                <c:pt idx="5">
                  <c:v>0.6180339887498949</c:v>
                </c:pt>
                <c:pt idx="6">
                  <c:v>0.50415945787922967</c:v>
                </c:pt>
                <c:pt idx="7">
                  <c:v>0.38452325786651298</c:v>
                </c:pt>
                <c:pt idx="8">
                  <c:v>0.26014705087354439</c:v>
                </c:pt>
                <c:pt idx="9">
                  <c:v>0.13178210632763543</c:v>
                </c:pt>
                <c:pt idx="10">
                  <c:v>2.2204460492503131E-16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F6-4072-8B1B-7EB24584A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06048"/>
        <c:axId val="123508224"/>
      </c:scatterChart>
      <c:scatterChart>
        <c:scatterStyle val="smoothMarker"/>
        <c:varyColors val="0"/>
        <c:ser>
          <c:idx val="1"/>
          <c:order val="1"/>
          <c:tx>
            <c:v>n2/b2</c:v>
          </c:tx>
          <c:xVal>
            <c:numRef>
              <c:f>Номограммы!$I$17:$I$27</c:f>
              <c:numCache>
                <c:formatCode>General</c:formatCode>
                <c:ptCount val="11"/>
                <c:pt idx="0">
                  <c:v>0.51436615858682233</c:v>
                </c:pt>
                <c:pt idx="1">
                  <c:v>0.55735912059597048</c:v>
                </c:pt>
                <c:pt idx="2">
                  <c:v>0.62572570959752671</c:v>
                </c:pt>
                <c:pt idx="3">
                  <c:v>0.69795199269645491</c:v>
                </c:pt>
                <c:pt idx="4">
                  <c:v>0.77044021634882676</c:v>
                </c:pt>
                <c:pt idx="5">
                  <c:v>0.84229731376639105</c:v>
                </c:pt>
                <c:pt idx="6">
                  <c:v>0.91329753974134376</c:v>
                </c:pt>
                <c:pt idx="7">
                  <c:v>0.98341788845948264</c:v>
                </c:pt>
                <c:pt idx="8">
                  <c:v>1.0527012124666204</c:v>
                </c:pt>
                <c:pt idx="9">
                  <c:v>1.1212097486106167</c:v>
                </c:pt>
                <c:pt idx="10">
                  <c:v>1.1890082052879605</c:v>
                </c:pt>
              </c:numCache>
            </c:numRef>
          </c:xVal>
          <c:yVal>
            <c:numRef>
              <c:f>Номограммы!$J$17:$J$27</c:f>
              <c:numCache>
                <c:formatCode>General</c:formatCode>
                <c:ptCount val="11"/>
                <c:pt idx="0">
                  <c:v>0</c:v>
                </c:pt>
                <c:pt idx="1">
                  <c:v>0.21332892229637929</c:v>
                </c:pt>
                <c:pt idx="2">
                  <c:v>0.38004134624826053</c:v>
                </c:pt>
                <c:pt idx="3">
                  <c:v>0.51107019582867086</c:v>
                </c:pt>
                <c:pt idx="4">
                  <c:v>0.61731367602940501</c:v>
                </c:pt>
                <c:pt idx="5">
                  <c:v>0.70581265418693295</c:v>
                </c:pt>
                <c:pt idx="6">
                  <c:v>0.78113089341598441</c:v>
                </c:pt>
                <c:pt idx="7">
                  <c:v>0.8463398454195028</c:v>
                </c:pt>
                <c:pt idx="8">
                  <c:v>0.90358646210881022</c:v>
                </c:pt>
                <c:pt idx="9">
                  <c:v>0.95442211957684331</c:v>
                </c:pt>
                <c:pt idx="1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8F6-4072-8B1B-7EB24584A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27936"/>
        <c:axId val="123509760"/>
      </c:scatterChart>
      <c:valAx>
        <c:axId val="123506048"/>
        <c:scaling>
          <c:orientation val="minMax"/>
          <c:max val="1.2"/>
          <c:min val="0.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b2/b1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36887489063867029"/>
              <c:y val="0.9320543422638208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3508224"/>
        <c:crosses val="autoZero"/>
        <c:crossBetween val="midCat"/>
      </c:valAx>
      <c:valAx>
        <c:axId val="123508224"/>
        <c:scaling>
          <c:orientation val="minMax"/>
          <c:max val="1"/>
        </c:scaling>
        <c:delete val="0"/>
        <c:axPos val="l"/>
        <c:majorGridlines/>
        <c:minorGridlines/>
        <c:numFmt formatCode="General" sourceLinked="1"/>
        <c:majorTickMark val="none"/>
        <c:minorTickMark val="none"/>
        <c:tickLblPos val="nextTo"/>
        <c:crossAx val="123506048"/>
        <c:crosses val="autoZero"/>
        <c:crossBetween val="midCat"/>
      </c:valAx>
      <c:valAx>
        <c:axId val="123509760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23527936"/>
        <c:crosses val="max"/>
        <c:crossBetween val="midCat"/>
      </c:valAx>
      <c:valAx>
        <c:axId val="12352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509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098600174978133"/>
          <c:y val="0.42418065666320015"/>
          <c:w val="0.15835418912884855"/>
          <c:h val="0.1476586618692963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02405949256366E-2"/>
          <c:y val="4.6551445220290852E-2"/>
          <c:w val="0.70242563429571314"/>
          <c:h val="0.8014288779940244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Номограммы!$I$32:$I$42</c:f>
              <c:numCache>
                <c:formatCode>General</c:formatCode>
                <c:ptCount val="11"/>
                <c:pt idx="0">
                  <c:v>0.51378119830603231</c:v>
                </c:pt>
                <c:pt idx="1">
                  <c:v>0.5566322294119691</c:v>
                </c:pt>
                <c:pt idx="2">
                  <c:v>0.62478912073412751</c:v>
                </c:pt>
                <c:pt idx="3">
                  <c:v>0.69679960021994725</c:v>
                </c:pt>
                <c:pt idx="4">
                  <c:v>0.76907300719730121</c:v>
                </c:pt>
                <c:pt idx="5">
                  <c:v>0.84071746065323694</c:v>
                </c:pt>
                <c:pt idx="6">
                  <c:v>0.91150727466692094</c:v>
                </c:pt>
                <c:pt idx="7">
                  <c:v>0.98141925476971692</c:v>
                </c:pt>
                <c:pt idx="8">
                  <c:v>1.0504960264334775</c:v>
                </c:pt>
                <c:pt idx="9">
                  <c:v>1.1187996151539354</c:v>
                </c:pt>
                <c:pt idx="10">
                  <c:v>1.1863945455710243</c:v>
                </c:pt>
              </c:numCache>
            </c:numRef>
          </c:xVal>
          <c:yVal>
            <c:numRef>
              <c:f>Номограммы!$H$32:$H$42</c:f>
              <c:numCache>
                <c:formatCode>General</c:formatCode>
                <c:ptCount val="11"/>
                <c:pt idx="0">
                  <c:v>1</c:v>
                </c:pt>
                <c:pt idx="1">
                  <c:v>0.97082039324993685</c:v>
                </c:pt>
                <c:pt idx="2">
                  <c:v>0.906225774829855</c:v>
                </c:pt>
                <c:pt idx="3">
                  <c:v>0.82195444572928866</c:v>
                </c:pt>
                <c:pt idx="4">
                  <c:v>0.72469507659595989</c:v>
                </c:pt>
                <c:pt idx="5">
                  <c:v>0.6180339887498949</c:v>
                </c:pt>
                <c:pt idx="6">
                  <c:v>0.50415945787922967</c:v>
                </c:pt>
                <c:pt idx="7">
                  <c:v>0.38452325786651298</c:v>
                </c:pt>
                <c:pt idx="8">
                  <c:v>0.26014705087354439</c:v>
                </c:pt>
                <c:pt idx="9">
                  <c:v>0.13178210632763543</c:v>
                </c:pt>
                <c:pt idx="10">
                  <c:v>2.2204460492503131E-16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m1/b1</c:v>
                </c15:tx>
              </c15:filteredSeriesTitle>
            </c:ext>
            <c:ext xmlns:c16="http://schemas.microsoft.com/office/drawing/2014/chart" uri="{C3380CC4-5D6E-409C-BE32-E72D297353CC}">
              <c16:uniqueId val="{00000000-5B5E-4110-9A5C-FA72143F9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06048"/>
        <c:axId val="123508224"/>
      </c:scatterChart>
      <c:scatterChart>
        <c:scatterStyle val="smoothMarker"/>
        <c:varyColors val="0"/>
        <c:ser>
          <c:idx val="1"/>
          <c:order val="1"/>
          <c:xVal>
            <c:numRef>
              <c:f>Номограммы!$I$32:$I$42</c:f>
              <c:numCache>
                <c:formatCode>General</c:formatCode>
                <c:ptCount val="11"/>
                <c:pt idx="0">
                  <c:v>0.51378119830603231</c:v>
                </c:pt>
                <c:pt idx="1">
                  <c:v>0.5566322294119691</c:v>
                </c:pt>
                <c:pt idx="2">
                  <c:v>0.62478912073412751</c:v>
                </c:pt>
                <c:pt idx="3">
                  <c:v>0.69679960021994725</c:v>
                </c:pt>
                <c:pt idx="4">
                  <c:v>0.76907300719730121</c:v>
                </c:pt>
                <c:pt idx="5">
                  <c:v>0.84071746065323694</c:v>
                </c:pt>
                <c:pt idx="6">
                  <c:v>0.91150727466692094</c:v>
                </c:pt>
                <c:pt idx="7">
                  <c:v>0.98141925476971692</c:v>
                </c:pt>
                <c:pt idx="8">
                  <c:v>1.0504960264334775</c:v>
                </c:pt>
                <c:pt idx="9">
                  <c:v>1.1187996151539354</c:v>
                </c:pt>
                <c:pt idx="10">
                  <c:v>1.1863945455710243</c:v>
                </c:pt>
              </c:numCache>
            </c:numRef>
          </c:xVal>
          <c:yVal>
            <c:numRef>
              <c:f>Номограммы!$J$32:$J$42</c:f>
              <c:numCache>
                <c:formatCode>General</c:formatCode>
                <c:ptCount val="11"/>
                <c:pt idx="0">
                  <c:v>0</c:v>
                </c:pt>
                <c:pt idx="1">
                  <c:v>0.21313795408942482</c:v>
                </c:pt>
                <c:pt idx="2">
                  <c:v>0.37977439305505523</c:v>
                </c:pt>
                <c:pt idx="3">
                  <c:v>0.51079013759330594</c:v>
                </c:pt>
                <c:pt idx="4">
                  <c:v>0.61705171523028735</c:v>
                </c:pt>
                <c:pt idx="5">
                  <c:v>0.70558457573201627</c:v>
                </c:pt>
                <c:pt idx="6">
                  <c:v>0.78094464753748782</c:v>
                </c:pt>
                <c:pt idx="7">
                  <c:v>0.84619919352874584</c:v>
                </c:pt>
                <c:pt idx="8">
                  <c:v>0.90349283821581605</c:v>
                </c:pt>
                <c:pt idx="9">
                  <c:v>0.95437563309047946</c:v>
                </c:pt>
                <c:pt idx="10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n2/b2</c:v>
                </c15:tx>
              </c15:filteredSeriesTitle>
            </c:ext>
            <c:ext xmlns:c16="http://schemas.microsoft.com/office/drawing/2014/chart" uri="{C3380CC4-5D6E-409C-BE32-E72D297353CC}">
              <c16:uniqueId val="{00000001-5B5E-4110-9A5C-FA72143F9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27936"/>
        <c:axId val="123509760"/>
      </c:scatterChart>
      <c:valAx>
        <c:axId val="123506048"/>
        <c:scaling>
          <c:orientation val="minMax"/>
          <c:max val="1.2"/>
          <c:min val="0.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b2/b1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36887489063867029"/>
              <c:y val="0.9320543422638208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3508224"/>
        <c:crosses val="autoZero"/>
        <c:crossBetween val="midCat"/>
      </c:valAx>
      <c:valAx>
        <c:axId val="123508224"/>
        <c:scaling>
          <c:orientation val="minMax"/>
          <c:max val="1"/>
        </c:scaling>
        <c:delete val="0"/>
        <c:axPos val="l"/>
        <c:majorGridlines/>
        <c:minorGridlines/>
        <c:numFmt formatCode="General" sourceLinked="1"/>
        <c:majorTickMark val="none"/>
        <c:minorTickMark val="none"/>
        <c:tickLblPos val="nextTo"/>
        <c:crossAx val="123506048"/>
        <c:crosses val="autoZero"/>
        <c:crossBetween val="midCat"/>
      </c:valAx>
      <c:valAx>
        <c:axId val="123509760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23527936"/>
        <c:crosses val="max"/>
        <c:crossBetween val="midCat"/>
      </c:valAx>
      <c:valAx>
        <c:axId val="12352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509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098600174978133"/>
          <c:y val="0.42418065666320015"/>
          <c:w val="0.15835418912884855"/>
          <c:h val="0.1476586618692963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02405949256366E-2"/>
          <c:y val="4.6551445220290852E-2"/>
          <c:w val="0.70242563429571314"/>
          <c:h val="0.8014288779940244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Номограммы!$I$46:$I$56</c:f>
              <c:numCache>
                <c:formatCode>General</c:formatCode>
                <c:ptCount val="11"/>
                <c:pt idx="0">
                  <c:v>0.54844302795178657</c:v>
                </c:pt>
                <c:pt idx="1">
                  <c:v>0.61569414052358773</c:v>
                </c:pt>
                <c:pt idx="2">
                  <c:v>0.7180001108611761</c:v>
                </c:pt>
                <c:pt idx="3">
                  <c:v>0.82459077735806829</c:v>
                </c:pt>
                <c:pt idx="4">
                  <c:v>0.93114745191841908</c:v>
                </c:pt>
                <c:pt idx="5">
                  <c:v>1.0367268065545192</c:v>
                </c:pt>
                <c:pt idx="6">
                  <c:v>1.1411432932233985</c:v>
                </c:pt>
                <c:pt idx="7">
                  <c:v>1.2444211507572298</c:v>
                </c:pt>
                <c:pt idx="8">
                  <c:v>1.3466436867725902</c:v>
                </c:pt>
                <c:pt idx="9">
                  <c:v>1.4479057320103685</c:v>
                </c:pt>
                <c:pt idx="10">
                  <c:v>1.548298005888586</c:v>
                </c:pt>
              </c:numCache>
            </c:numRef>
          </c:xVal>
          <c:yVal>
            <c:numRef>
              <c:f>Номограммы!$H$46:$H$56</c:f>
              <c:numCache>
                <c:formatCode>General</c:formatCode>
                <c:ptCount val="11"/>
                <c:pt idx="0">
                  <c:v>1</c:v>
                </c:pt>
                <c:pt idx="1">
                  <c:v>0.97082039324993685</c:v>
                </c:pt>
                <c:pt idx="2">
                  <c:v>0.906225774829855</c:v>
                </c:pt>
                <c:pt idx="3">
                  <c:v>0.82195444572928866</c:v>
                </c:pt>
                <c:pt idx="4">
                  <c:v>0.72469507659595989</c:v>
                </c:pt>
                <c:pt idx="5">
                  <c:v>0.6180339887498949</c:v>
                </c:pt>
                <c:pt idx="6">
                  <c:v>0.50415945787922967</c:v>
                </c:pt>
                <c:pt idx="7">
                  <c:v>0.38452325786651298</c:v>
                </c:pt>
                <c:pt idx="8">
                  <c:v>0.26014705087354439</c:v>
                </c:pt>
                <c:pt idx="9">
                  <c:v>0.13178210632763543</c:v>
                </c:pt>
                <c:pt idx="10">
                  <c:v>2.2204460492503131E-16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93-4039-8E16-9866799C1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06048"/>
        <c:axId val="123508224"/>
      </c:scatterChart>
      <c:scatterChart>
        <c:scatterStyle val="smoothMarker"/>
        <c:varyColors val="0"/>
        <c:ser>
          <c:idx val="1"/>
          <c:order val="1"/>
          <c:xVal>
            <c:numRef>
              <c:f>Номограммы!$I$46:$I$56</c:f>
              <c:numCache>
                <c:formatCode>General</c:formatCode>
                <c:ptCount val="11"/>
                <c:pt idx="0">
                  <c:v>0.54844302795178657</c:v>
                </c:pt>
                <c:pt idx="1">
                  <c:v>0.61569414052358773</c:v>
                </c:pt>
                <c:pt idx="2">
                  <c:v>0.7180001108611761</c:v>
                </c:pt>
                <c:pt idx="3">
                  <c:v>0.82459077735806829</c:v>
                </c:pt>
                <c:pt idx="4">
                  <c:v>0.93114745191841908</c:v>
                </c:pt>
                <c:pt idx="5">
                  <c:v>1.0367268065545192</c:v>
                </c:pt>
                <c:pt idx="6">
                  <c:v>1.1411432932233985</c:v>
                </c:pt>
                <c:pt idx="7">
                  <c:v>1.2444211507572298</c:v>
                </c:pt>
                <c:pt idx="8">
                  <c:v>1.3466436867725902</c:v>
                </c:pt>
                <c:pt idx="9">
                  <c:v>1.4479057320103685</c:v>
                </c:pt>
                <c:pt idx="10">
                  <c:v>1.548298005888586</c:v>
                </c:pt>
              </c:numCache>
            </c:numRef>
          </c:xVal>
          <c:yVal>
            <c:numRef>
              <c:f>Номограммы!$J$46:$J$56</c:f>
              <c:numCache>
                <c:formatCode>General</c:formatCode>
                <c:ptCount val="11"/>
                <c:pt idx="0">
                  <c:v>0</c:v>
                </c:pt>
                <c:pt idx="1">
                  <c:v>0.2514719410147237</c:v>
                </c:pt>
                <c:pt idx="2">
                  <c:v>0.43128071499363507</c:v>
                </c:pt>
                <c:pt idx="3">
                  <c:v>0.56329686739253593</c:v>
                </c:pt>
                <c:pt idx="4">
                  <c:v>0.66511399572588337</c:v>
                </c:pt>
                <c:pt idx="5">
                  <c:v>0.74672420742849033</c:v>
                </c:pt>
                <c:pt idx="6">
                  <c:v>0.81407725835118938</c:v>
                </c:pt>
                <c:pt idx="7">
                  <c:v>0.87093393057688961</c:v>
                </c:pt>
                <c:pt idx="8">
                  <c:v>0.9197966892633862</c:v>
                </c:pt>
                <c:pt idx="9">
                  <c:v>0.96240257531472262</c:v>
                </c:pt>
                <c:pt idx="1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93-4039-8E16-9866799C1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27936"/>
        <c:axId val="123509760"/>
      </c:scatterChart>
      <c:valAx>
        <c:axId val="123506048"/>
        <c:scaling>
          <c:orientation val="minMax"/>
          <c:max val="1.6"/>
          <c:min val="0.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b2/b1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36887489063867029"/>
              <c:y val="0.9320543422638208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3508224"/>
        <c:crosses val="autoZero"/>
        <c:crossBetween val="midCat"/>
      </c:valAx>
      <c:valAx>
        <c:axId val="123508224"/>
        <c:scaling>
          <c:orientation val="minMax"/>
          <c:max val="1"/>
        </c:scaling>
        <c:delete val="0"/>
        <c:axPos val="l"/>
        <c:majorGridlines/>
        <c:minorGridlines/>
        <c:numFmt formatCode="General" sourceLinked="1"/>
        <c:majorTickMark val="none"/>
        <c:minorTickMark val="none"/>
        <c:tickLblPos val="nextTo"/>
        <c:crossAx val="123506048"/>
        <c:crosses val="autoZero"/>
        <c:crossBetween val="midCat"/>
      </c:valAx>
      <c:valAx>
        <c:axId val="123509760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23527936"/>
        <c:crosses val="max"/>
        <c:crossBetween val="midCat"/>
      </c:valAx>
      <c:valAx>
        <c:axId val="12352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509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098600174978133"/>
          <c:y val="0.42418065666320015"/>
          <c:w val="0.15835418912884855"/>
          <c:h val="0.1476586618692963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02405949256366E-2"/>
          <c:y val="4.6551445220290852E-2"/>
          <c:w val="0.70242563429571314"/>
          <c:h val="0.8014288779940244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Номограммы!$I$60:$I$70</c:f>
              <c:numCache>
                <c:formatCode>General</c:formatCode>
                <c:ptCount val="11"/>
                <c:pt idx="0">
                  <c:v>0.54848514354481037</c:v>
                </c:pt>
                <c:pt idx="1">
                  <c:v>0.61570596746062412</c:v>
                </c:pt>
                <c:pt idx="2">
                  <c:v>0.71797246206058674</c:v>
                </c:pt>
                <c:pt idx="3">
                  <c:v>0.82452398519669112</c:v>
                </c:pt>
                <c:pt idx="4">
                  <c:v>0.93104204191554285</c:v>
                </c:pt>
                <c:pt idx="5">
                  <c:v>1.0365831601208724</c:v>
                </c:pt>
                <c:pt idx="6">
                  <c:v>1.1409616773106941</c:v>
                </c:pt>
                <c:pt idx="7">
                  <c:v>1.2442017564458041</c:v>
                </c:pt>
                <c:pt idx="8">
                  <c:v>1.3463866549327879</c:v>
                </c:pt>
                <c:pt idx="9">
                  <c:v>1.4476111694012166</c:v>
                </c:pt>
                <c:pt idx="10">
                  <c:v>1.5479659953914096</c:v>
                </c:pt>
              </c:numCache>
            </c:numRef>
          </c:xVal>
          <c:yVal>
            <c:numRef>
              <c:f>Номограммы!$H$60:$H$70</c:f>
              <c:numCache>
                <c:formatCode>General</c:formatCode>
                <c:ptCount val="11"/>
                <c:pt idx="0">
                  <c:v>1</c:v>
                </c:pt>
                <c:pt idx="1">
                  <c:v>0.97082039324993685</c:v>
                </c:pt>
                <c:pt idx="2">
                  <c:v>0.906225774829855</c:v>
                </c:pt>
                <c:pt idx="3">
                  <c:v>0.82195444572928866</c:v>
                </c:pt>
                <c:pt idx="4">
                  <c:v>0.72469507659595989</c:v>
                </c:pt>
                <c:pt idx="5">
                  <c:v>0.6180339887498949</c:v>
                </c:pt>
                <c:pt idx="6">
                  <c:v>0.50415945787922967</c:v>
                </c:pt>
                <c:pt idx="7">
                  <c:v>0.38452325786651298</c:v>
                </c:pt>
                <c:pt idx="8">
                  <c:v>0.26014705087354439</c:v>
                </c:pt>
                <c:pt idx="9">
                  <c:v>0.13178210632763543</c:v>
                </c:pt>
                <c:pt idx="10">
                  <c:v>2.2204460492503131E-16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EE-4778-A443-688B5B03B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06048"/>
        <c:axId val="123508224"/>
      </c:scatterChart>
      <c:scatterChart>
        <c:scatterStyle val="smoothMarker"/>
        <c:varyColors val="0"/>
        <c:ser>
          <c:idx val="1"/>
          <c:order val="1"/>
          <c:xVal>
            <c:numRef>
              <c:f>Номограммы!$I$60:$I$70</c:f>
              <c:numCache>
                <c:formatCode>General</c:formatCode>
                <c:ptCount val="11"/>
                <c:pt idx="0">
                  <c:v>0.54848514354481037</c:v>
                </c:pt>
                <c:pt idx="1">
                  <c:v>0.61570596746062412</c:v>
                </c:pt>
                <c:pt idx="2">
                  <c:v>0.71797246206058674</c:v>
                </c:pt>
                <c:pt idx="3">
                  <c:v>0.82452398519669112</c:v>
                </c:pt>
                <c:pt idx="4">
                  <c:v>0.93104204191554285</c:v>
                </c:pt>
                <c:pt idx="5">
                  <c:v>1.0365831601208724</c:v>
                </c:pt>
                <c:pt idx="6">
                  <c:v>1.1409616773106941</c:v>
                </c:pt>
                <c:pt idx="7">
                  <c:v>1.2442017564458041</c:v>
                </c:pt>
                <c:pt idx="8">
                  <c:v>1.3463866549327879</c:v>
                </c:pt>
                <c:pt idx="9">
                  <c:v>1.4476111694012166</c:v>
                </c:pt>
                <c:pt idx="10">
                  <c:v>1.5479659953914096</c:v>
                </c:pt>
              </c:numCache>
            </c:numRef>
          </c:xVal>
          <c:yVal>
            <c:numRef>
              <c:f>Номограммы!$J$60:$J$70</c:f>
              <c:numCache>
                <c:formatCode>General</c:formatCode>
                <c:ptCount val="11"/>
                <c:pt idx="0">
                  <c:v>0</c:v>
                </c:pt>
                <c:pt idx="1">
                  <c:v>0.251413187008035</c:v>
                </c:pt>
                <c:pt idx="2">
                  <c:v>0.43120483784259228</c:v>
                </c:pt>
                <c:pt idx="3">
                  <c:v>0.5632216975551565</c:v>
                </c:pt>
                <c:pt idx="4">
                  <c:v>0.66504665770263038</c:v>
                </c:pt>
                <c:pt idx="5">
                  <c:v>0.74666753953966758</c:v>
                </c:pt>
                <c:pt idx="6">
                  <c:v>0.81403224639764205</c:v>
                </c:pt>
                <c:pt idx="7">
                  <c:v>0.87090071297547333</c:v>
                </c:pt>
                <c:pt idx="8">
                  <c:v>0.91977500800091339</c:v>
                </c:pt>
                <c:pt idx="9">
                  <c:v>0.96239199123376007</c:v>
                </c:pt>
                <c:pt idx="10">
                  <c:v>1.0000000000000002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AEE-4778-A443-688B5B03B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27936"/>
        <c:axId val="123509760"/>
      </c:scatterChart>
      <c:valAx>
        <c:axId val="123506048"/>
        <c:scaling>
          <c:orientation val="minMax"/>
          <c:max val="1.6"/>
          <c:min val="0.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b2/b1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36887489063867029"/>
              <c:y val="0.9320543422638208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3508224"/>
        <c:crosses val="autoZero"/>
        <c:crossBetween val="midCat"/>
      </c:valAx>
      <c:valAx>
        <c:axId val="123508224"/>
        <c:scaling>
          <c:orientation val="minMax"/>
          <c:max val="1"/>
        </c:scaling>
        <c:delete val="0"/>
        <c:axPos val="l"/>
        <c:majorGridlines/>
        <c:minorGridlines/>
        <c:numFmt formatCode="General" sourceLinked="1"/>
        <c:majorTickMark val="none"/>
        <c:minorTickMark val="none"/>
        <c:tickLblPos val="nextTo"/>
        <c:crossAx val="123506048"/>
        <c:crosses val="autoZero"/>
        <c:crossBetween val="midCat"/>
      </c:valAx>
      <c:valAx>
        <c:axId val="123509760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23527936"/>
        <c:crosses val="max"/>
        <c:crossBetween val="midCat"/>
      </c:valAx>
      <c:valAx>
        <c:axId val="12352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509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098600174978133"/>
          <c:y val="0.42418065666320015"/>
          <c:w val="0.15835418912884855"/>
          <c:h val="0.1476586618692963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02405949256366E-2"/>
          <c:y val="4.6551445220290852E-2"/>
          <c:w val="0.70242563429571314"/>
          <c:h val="0.8014288779940244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Номограммы!$I$74:$I$84</c:f>
              <c:numCache>
                <c:formatCode>General</c:formatCode>
                <c:ptCount val="11"/>
                <c:pt idx="0">
                  <c:v>0.51385701807134831</c:v>
                </c:pt>
                <c:pt idx="1">
                  <c:v>0.55678288928341391</c:v>
                </c:pt>
                <c:pt idx="2">
                  <c:v>0.62504701487611769</c:v>
                </c:pt>
                <c:pt idx="3">
                  <c:v>0.69716656256824416</c:v>
                </c:pt>
                <c:pt idx="4">
                  <c:v>0.76954813048636472</c:v>
                </c:pt>
                <c:pt idx="5">
                  <c:v>0.84129958044767217</c:v>
                </c:pt>
                <c:pt idx="6">
                  <c:v>0.9121953385685635</c:v>
                </c:pt>
                <c:pt idx="7">
                  <c:v>0.98221236515349486</c:v>
                </c:pt>
                <c:pt idx="8">
                  <c:v>1.0513934233139266</c:v>
                </c:pt>
                <c:pt idx="9">
                  <c:v>1.1198006512394194</c:v>
                </c:pt>
                <c:pt idx="10">
                  <c:v>1.1874986642399381</c:v>
                </c:pt>
              </c:numCache>
            </c:numRef>
          </c:xVal>
          <c:yVal>
            <c:numRef>
              <c:f>Номограммы!$H$74:$H$84</c:f>
              <c:numCache>
                <c:formatCode>General</c:formatCode>
                <c:ptCount val="11"/>
                <c:pt idx="0">
                  <c:v>1</c:v>
                </c:pt>
                <c:pt idx="1">
                  <c:v>0.97082039324993685</c:v>
                </c:pt>
                <c:pt idx="2">
                  <c:v>0.906225774829855</c:v>
                </c:pt>
                <c:pt idx="3">
                  <c:v>0.82195444572928866</c:v>
                </c:pt>
                <c:pt idx="4">
                  <c:v>0.72469507659595989</c:v>
                </c:pt>
                <c:pt idx="5">
                  <c:v>0.6180339887498949</c:v>
                </c:pt>
                <c:pt idx="6">
                  <c:v>0.50415945787922967</c:v>
                </c:pt>
                <c:pt idx="7">
                  <c:v>0.38452325786651298</c:v>
                </c:pt>
                <c:pt idx="8">
                  <c:v>0.26014705087354439</c:v>
                </c:pt>
                <c:pt idx="9">
                  <c:v>0.13178210632763543</c:v>
                </c:pt>
                <c:pt idx="10">
                  <c:v>2.2204460492503131E-16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9CD-412B-A243-4E343F9F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06048"/>
        <c:axId val="123508224"/>
      </c:scatterChart>
      <c:scatterChart>
        <c:scatterStyle val="smoothMarker"/>
        <c:varyColors val="0"/>
        <c:ser>
          <c:idx val="1"/>
          <c:order val="1"/>
          <c:xVal>
            <c:numRef>
              <c:f>Номограммы!$I$74:$I$84</c:f>
              <c:numCache>
                <c:formatCode>General</c:formatCode>
                <c:ptCount val="11"/>
                <c:pt idx="0">
                  <c:v>0.51385701807134831</c:v>
                </c:pt>
                <c:pt idx="1">
                  <c:v>0.55678288928341391</c:v>
                </c:pt>
                <c:pt idx="2">
                  <c:v>0.62504701487611769</c:v>
                </c:pt>
                <c:pt idx="3">
                  <c:v>0.69716656256824416</c:v>
                </c:pt>
                <c:pt idx="4">
                  <c:v>0.76954813048636472</c:v>
                </c:pt>
                <c:pt idx="5">
                  <c:v>0.84129958044767217</c:v>
                </c:pt>
                <c:pt idx="6">
                  <c:v>0.9121953385685635</c:v>
                </c:pt>
                <c:pt idx="7">
                  <c:v>0.98221236515349486</c:v>
                </c:pt>
                <c:pt idx="8">
                  <c:v>1.0513934233139266</c:v>
                </c:pt>
                <c:pt idx="9">
                  <c:v>1.1198006512394194</c:v>
                </c:pt>
                <c:pt idx="10">
                  <c:v>1.1874986642399381</c:v>
                </c:pt>
              </c:numCache>
            </c:numRef>
          </c:xVal>
          <c:yVal>
            <c:numRef>
              <c:f>Номограммы!$J$74:$J$84</c:f>
              <c:numCache>
                <c:formatCode>General</c:formatCode>
                <c:ptCount val="11"/>
                <c:pt idx="0">
                  <c:v>0</c:v>
                </c:pt>
                <c:pt idx="1">
                  <c:v>0.21327858436315508</c:v>
                </c:pt>
                <c:pt idx="2">
                  <c:v>0.37997098969436621</c:v>
                </c:pt>
                <c:pt idx="3">
                  <c:v>0.51099639368764049</c:v>
                </c:pt>
                <c:pt idx="4">
                  <c:v>0.61724464900690401</c:v>
                </c:pt>
                <c:pt idx="5">
                  <c:v>0.70575255939628945</c:v>
                </c:pt>
                <c:pt idx="6">
                  <c:v>0.78108182361689327</c:v>
                </c:pt>
                <c:pt idx="7">
                  <c:v>0.84630278996544062</c:v>
                </c:pt>
                <c:pt idx="8">
                  <c:v>0.90356179744553955</c:v>
                </c:pt>
                <c:pt idx="9">
                  <c:v>0.95440987342973083</c:v>
                </c:pt>
                <c:pt idx="1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9CD-412B-A243-4E343F9F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27936"/>
        <c:axId val="123509760"/>
      </c:scatterChart>
      <c:valAx>
        <c:axId val="123506048"/>
        <c:scaling>
          <c:orientation val="minMax"/>
          <c:max val="1.2"/>
          <c:min val="0.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b2/b1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36887489063867029"/>
              <c:y val="0.9320543422638208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3508224"/>
        <c:crosses val="autoZero"/>
        <c:crossBetween val="midCat"/>
      </c:valAx>
      <c:valAx>
        <c:axId val="123508224"/>
        <c:scaling>
          <c:orientation val="minMax"/>
          <c:max val="1"/>
        </c:scaling>
        <c:delete val="0"/>
        <c:axPos val="l"/>
        <c:majorGridlines/>
        <c:minorGridlines/>
        <c:numFmt formatCode="General" sourceLinked="1"/>
        <c:majorTickMark val="none"/>
        <c:minorTickMark val="none"/>
        <c:tickLblPos val="nextTo"/>
        <c:crossAx val="123506048"/>
        <c:crosses val="autoZero"/>
        <c:crossBetween val="midCat"/>
      </c:valAx>
      <c:valAx>
        <c:axId val="123509760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23527936"/>
        <c:crosses val="max"/>
        <c:crossBetween val="midCat"/>
      </c:valAx>
      <c:valAx>
        <c:axId val="12352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509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098600174978133"/>
          <c:y val="0.42418065666320015"/>
          <c:w val="0.15835418912884855"/>
          <c:h val="0.1476586618692963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02405949256366E-2"/>
          <c:y val="4.6551445220290852E-2"/>
          <c:w val="0.70242563429571314"/>
          <c:h val="0.8014288779940244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Номограммы!$I$88:$I$98</c:f>
              <c:numCache>
                <c:formatCode>General</c:formatCode>
                <c:ptCount val="11"/>
                <c:pt idx="0">
                  <c:v>0.51419177569377894</c:v>
                </c:pt>
                <c:pt idx="1">
                  <c:v>0.55705249285477687</c:v>
                </c:pt>
                <c:pt idx="2">
                  <c:v>0.62522901493898786</c:v>
                </c:pt>
                <c:pt idx="3">
                  <c:v>0.69726174965802856</c:v>
                </c:pt>
                <c:pt idx="4">
                  <c:v>0.76955796088511441</c:v>
                </c:pt>
                <c:pt idx="5">
                  <c:v>0.8412251002276081</c:v>
                </c:pt>
                <c:pt idx="6">
                  <c:v>0.91203724940280062</c:v>
                </c:pt>
                <c:pt idx="7">
                  <c:v>0.98197113871282526</c:v>
                </c:pt>
                <c:pt idx="8">
                  <c:v>1.0510693805981983</c:v>
                </c:pt>
                <c:pt idx="9">
                  <c:v>1.1193940129878992</c:v>
                </c:pt>
                <c:pt idx="10">
                  <c:v>1.1870095829783163</c:v>
                </c:pt>
              </c:numCache>
            </c:numRef>
          </c:xVal>
          <c:yVal>
            <c:numRef>
              <c:f>Номограммы!$H$88:$H$98</c:f>
              <c:numCache>
                <c:formatCode>General</c:formatCode>
                <c:ptCount val="11"/>
                <c:pt idx="0">
                  <c:v>1</c:v>
                </c:pt>
                <c:pt idx="1">
                  <c:v>0.97082039324993685</c:v>
                </c:pt>
                <c:pt idx="2">
                  <c:v>0.906225774829855</c:v>
                </c:pt>
                <c:pt idx="3">
                  <c:v>0.82195444572928866</c:v>
                </c:pt>
                <c:pt idx="4">
                  <c:v>0.72469507659595989</c:v>
                </c:pt>
                <c:pt idx="5">
                  <c:v>0.6180339887498949</c:v>
                </c:pt>
                <c:pt idx="6">
                  <c:v>0.50415945787922967</c:v>
                </c:pt>
                <c:pt idx="7">
                  <c:v>0.38452325786651298</c:v>
                </c:pt>
                <c:pt idx="8">
                  <c:v>0.26014705087354439</c:v>
                </c:pt>
                <c:pt idx="9">
                  <c:v>0.13178210632763543</c:v>
                </c:pt>
                <c:pt idx="10">
                  <c:v>2.2204460492503131E-16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41-4CAC-9111-2862AC495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06048"/>
        <c:axId val="123508224"/>
      </c:scatterChart>
      <c:scatterChart>
        <c:scatterStyle val="smoothMarker"/>
        <c:varyColors val="0"/>
        <c:ser>
          <c:idx val="1"/>
          <c:order val="1"/>
          <c:xVal>
            <c:numRef>
              <c:f>Номограммы!$I$88:$I$98</c:f>
              <c:numCache>
                <c:formatCode>General</c:formatCode>
                <c:ptCount val="11"/>
                <c:pt idx="0">
                  <c:v>0.51419177569377894</c:v>
                </c:pt>
                <c:pt idx="1">
                  <c:v>0.55705249285477687</c:v>
                </c:pt>
                <c:pt idx="2">
                  <c:v>0.62522901493898786</c:v>
                </c:pt>
                <c:pt idx="3">
                  <c:v>0.69726174965802856</c:v>
                </c:pt>
                <c:pt idx="4">
                  <c:v>0.76955796088511441</c:v>
                </c:pt>
                <c:pt idx="5">
                  <c:v>0.8412251002276081</c:v>
                </c:pt>
                <c:pt idx="6">
                  <c:v>0.91203724940280062</c:v>
                </c:pt>
                <c:pt idx="7">
                  <c:v>0.98197113871282526</c:v>
                </c:pt>
                <c:pt idx="8">
                  <c:v>1.0510693805981983</c:v>
                </c:pt>
                <c:pt idx="9">
                  <c:v>1.1193940129878992</c:v>
                </c:pt>
                <c:pt idx="10">
                  <c:v>1.1870095829783163</c:v>
                </c:pt>
              </c:numCache>
            </c:numRef>
          </c:xVal>
          <c:yVal>
            <c:numRef>
              <c:f>Номограммы!$J$88:$J$98</c:f>
              <c:numCache>
                <c:formatCode>General</c:formatCode>
                <c:ptCount val="11"/>
                <c:pt idx="0">
                  <c:v>0</c:v>
                </c:pt>
                <c:pt idx="1">
                  <c:v>0.21308756323755812</c:v>
                </c:pt>
                <c:pt idx="2">
                  <c:v>0.37970393395583196</c:v>
                </c:pt>
                <c:pt idx="3">
                  <c:v>0.51071620531048112</c:v>
                </c:pt>
                <c:pt idx="4">
                  <c:v>0.61698255014505532</c:v>
                </c:pt>
                <c:pt idx="5">
                  <c:v>0.70552434934308927</c:v>
                </c:pt>
                <c:pt idx="6">
                  <c:v>0.78089546260675236</c:v>
                </c:pt>
                <c:pt idx="7">
                  <c:v>0.84616204624300861</c:v>
                </c:pt>
                <c:pt idx="8">
                  <c:v>0.90346810963344781</c:v>
                </c:pt>
                <c:pt idx="9">
                  <c:v>0.95436335399806471</c:v>
                </c:pt>
                <c:pt idx="1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841-4CAC-9111-2862AC495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27936"/>
        <c:axId val="123509760"/>
      </c:scatterChart>
      <c:valAx>
        <c:axId val="123506048"/>
        <c:scaling>
          <c:orientation val="minMax"/>
          <c:max val="1.2"/>
          <c:min val="0.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b2/b1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36887489063867029"/>
              <c:y val="0.9320543422638208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3508224"/>
        <c:crosses val="autoZero"/>
        <c:crossBetween val="midCat"/>
      </c:valAx>
      <c:valAx>
        <c:axId val="123508224"/>
        <c:scaling>
          <c:orientation val="minMax"/>
          <c:max val="1"/>
        </c:scaling>
        <c:delete val="0"/>
        <c:axPos val="l"/>
        <c:majorGridlines/>
        <c:minorGridlines/>
        <c:numFmt formatCode="General" sourceLinked="1"/>
        <c:majorTickMark val="none"/>
        <c:minorTickMark val="none"/>
        <c:tickLblPos val="nextTo"/>
        <c:crossAx val="123506048"/>
        <c:crosses val="autoZero"/>
        <c:crossBetween val="midCat"/>
      </c:valAx>
      <c:valAx>
        <c:axId val="123509760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23527936"/>
        <c:crosses val="max"/>
        <c:crossBetween val="midCat"/>
      </c:valAx>
      <c:valAx>
        <c:axId val="12352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509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098600174978133"/>
          <c:y val="0.42418065666320015"/>
          <c:w val="0.15835418912884855"/>
          <c:h val="0.1476586618692963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02405949256366E-2"/>
          <c:y val="4.6551445220290852E-2"/>
          <c:w val="0.70242563429571314"/>
          <c:h val="0.8014288779940244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Номограммы!$I$102:$I$112</c:f>
              <c:numCache>
                <c:formatCode>General</c:formatCode>
                <c:ptCount val="11"/>
                <c:pt idx="0">
                  <c:v>0.51386373018142228</c:v>
                </c:pt>
                <c:pt idx="1">
                  <c:v>0.55678444995077447</c:v>
                </c:pt>
                <c:pt idx="2">
                  <c:v>0.62504136665512977</c:v>
                </c:pt>
                <c:pt idx="3">
                  <c:v>0.69715365058008183</c:v>
                </c:pt>
                <c:pt idx="4">
                  <c:v>0.76952803705469264</c:v>
                </c:pt>
                <c:pt idx="5">
                  <c:v>0.84127238665556103</c:v>
                </c:pt>
                <c:pt idx="6">
                  <c:v>0.91216111042251646</c:v>
                </c:pt>
                <c:pt idx="7">
                  <c:v>0.98217115516947084</c:v>
                </c:pt>
                <c:pt idx="8">
                  <c:v>1.051345273618655</c:v>
                </c:pt>
                <c:pt idx="9">
                  <c:v>1.1197455961427434</c:v>
                </c:pt>
                <c:pt idx="10">
                  <c:v>1.1874367321339871</c:v>
                </c:pt>
              </c:numCache>
            </c:numRef>
          </c:xVal>
          <c:yVal>
            <c:numRef>
              <c:f>Номограммы!$H$102:$H$112</c:f>
              <c:numCache>
                <c:formatCode>General</c:formatCode>
                <c:ptCount val="11"/>
                <c:pt idx="0">
                  <c:v>1</c:v>
                </c:pt>
                <c:pt idx="1">
                  <c:v>0.97082039324993685</c:v>
                </c:pt>
                <c:pt idx="2">
                  <c:v>0.906225774829855</c:v>
                </c:pt>
                <c:pt idx="3">
                  <c:v>0.82195444572928866</c:v>
                </c:pt>
                <c:pt idx="4">
                  <c:v>0.72469507659595989</c:v>
                </c:pt>
                <c:pt idx="5">
                  <c:v>0.6180339887498949</c:v>
                </c:pt>
                <c:pt idx="6">
                  <c:v>0.50415945787922967</c:v>
                </c:pt>
                <c:pt idx="7">
                  <c:v>0.38452325786651298</c:v>
                </c:pt>
                <c:pt idx="8">
                  <c:v>0.26014705087354439</c:v>
                </c:pt>
                <c:pt idx="9">
                  <c:v>0.13178210632763543</c:v>
                </c:pt>
                <c:pt idx="10">
                  <c:v>2.2204460492503131E-16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E9-4D07-BBFF-2A9370F3A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06048"/>
        <c:axId val="123508224"/>
      </c:scatterChart>
      <c:scatterChart>
        <c:scatterStyle val="smoothMarker"/>
        <c:varyColors val="0"/>
        <c:ser>
          <c:idx val="1"/>
          <c:order val="1"/>
          <c:xVal>
            <c:numRef>
              <c:f>Номограммы!$I$102:$I$112</c:f>
              <c:numCache>
                <c:formatCode>General</c:formatCode>
                <c:ptCount val="11"/>
                <c:pt idx="0">
                  <c:v>0.51386373018142228</c:v>
                </c:pt>
                <c:pt idx="1">
                  <c:v>0.55678444995077447</c:v>
                </c:pt>
                <c:pt idx="2">
                  <c:v>0.62504136665512977</c:v>
                </c:pt>
                <c:pt idx="3">
                  <c:v>0.69715365058008183</c:v>
                </c:pt>
                <c:pt idx="4">
                  <c:v>0.76952803705469264</c:v>
                </c:pt>
                <c:pt idx="5">
                  <c:v>0.84127238665556103</c:v>
                </c:pt>
                <c:pt idx="6">
                  <c:v>0.91216111042251646</c:v>
                </c:pt>
                <c:pt idx="7">
                  <c:v>0.98217115516947084</c:v>
                </c:pt>
                <c:pt idx="8">
                  <c:v>1.051345273618655</c:v>
                </c:pt>
                <c:pt idx="9">
                  <c:v>1.1197455961427434</c:v>
                </c:pt>
                <c:pt idx="10">
                  <c:v>1.1874367321339871</c:v>
                </c:pt>
              </c:numCache>
            </c:numRef>
          </c:xVal>
          <c:yVal>
            <c:numRef>
              <c:f>Номограммы!$J$102:$J$112</c:f>
              <c:numCache>
                <c:formatCode>General</c:formatCode>
                <c:ptCount val="11"/>
                <c:pt idx="0">
                  <c:v>0</c:v>
                </c:pt>
                <c:pt idx="1">
                  <c:v>0.21326686336857451</c:v>
                </c:pt>
                <c:pt idx="2">
                  <c:v>0.37995460636100986</c:v>
                </c:pt>
                <c:pt idx="3">
                  <c:v>0.51097920715725509</c:v>
                </c:pt>
                <c:pt idx="4">
                  <c:v>0.61722857385615582</c:v>
                </c:pt>
                <c:pt idx="5">
                  <c:v>0.70573856397128787</c:v>
                </c:pt>
                <c:pt idx="6">
                  <c:v>0.7810703955032432</c:v>
                </c:pt>
                <c:pt idx="7">
                  <c:v>0.84629415974893807</c:v>
                </c:pt>
                <c:pt idx="8">
                  <c:v>0.90355605293923291</c:v>
                </c:pt>
                <c:pt idx="9">
                  <c:v>0.95440702120372822</c:v>
                </c:pt>
                <c:pt idx="1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E9-4D07-BBFF-2A9370F3A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27936"/>
        <c:axId val="123509760"/>
      </c:scatterChart>
      <c:valAx>
        <c:axId val="123506048"/>
        <c:scaling>
          <c:orientation val="minMax"/>
          <c:max val="1.2"/>
          <c:min val="0.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b2/b1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36887489063867029"/>
              <c:y val="0.9320543422638208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3508224"/>
        <c:crosses val="autoZero"/>
        <c:crossBetween val="midCat"/>
      </c:valAx>
      <c:valAx>
        <c:axId val="123508224"/>
        <c:scaling>
          <c:orientation val="minMax"/>
          <c:max val="1"/>
        </c:scaling>
        <c:delete val="0"/>
        <c:axPos val="l"/>
        <c:majorGridlines/>
        <c:minorGridlines/>
        <c:numFmt formatCode="General" sourceLinked="1"/>
        <c:majorTickMark val="none"/>
        <c:minorTickMark val="none"/>
        <c:tickLblPos val="nextTo"/>
        <c:crossAx val="123506048"/>
        <c:crosses val="autoZero"/>
        <c:crossBetween val="midCat"/>
      </c:valAx>
      <c:valAx>
        <c:axId val="123509760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23527936"/>
        <c:crosses val="max"/>
        <c:crossBetween val="midCat"/>
      </c:valAx>
      <c:valAx>
        <c:axId val="12352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509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098600174978133"/>
          <c:y val="0.42418065666320015"/>
          <c:w val="0.15835418912884855"/>
          <c:h val="0.1476586618692963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02405949256366E-2"/>
          <c:y val="4.6551445220290852E-2"/>
          <c:w val="0.70242563429571314"/>
          <c:h val="0.8014288779940244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Номограммы!$I$116:$I$126</c:f>
              <c:numCache>
                <c:formatCode>General</c:formatCode>
                <c:ptCount val="11"/>
                <c:pt idx="0">
                  <c:v>0.54847791947908664</c:v>
                </c:pt>
                <c:pt idx="1">
                  <c:v>0.61586942565134228</c:v>
                </c:pt>
                <c:pt idx="2">
                  <c:v>0.71836359006965378</c:v>
                </c:pt>
                <c:pt idx="3">
                  <c:v>0.82514270377026799</c:v>
                </c:pt>
                <c:pt idx="4">
                  <c:v>0.93188579585142295</c:v>
                </c:pt>
                <c:pt idx="5">
                  <c:v>1.0376497547039276</c:v>
                </c:pt>
                <c:pt idx="6">
                  <c:v>1.1422494053378898</c:v>
                </c:pt>
                <c:pt idx="7">
                  <c:v>1.2457092864388488</c:v>
                </c:pt>
                <c:pt idx="8">
                  <c:v>1.3481129280870985</c:v>
                </c:pt>
                <c:pt idx="9">
                  <c:v>1.4495553258214009</c:v>
                </c:pt>
                <c:pt idx="10">
                  <c:v>1.5501273231165382</c:v>
                </c:pt>
              </c:numCache>
            </c:numRef>
          </c:xVal>
          <c:yVal>
            <c:numRef>
              <c:f>Номограммы!$H$116:$H$126</c:f>
              <c:numCache>
                <c:formatCode>General</c:formatCode>
                <c:ptCount val="11"/>
                <c:pt idx="0">
                  <c:v>1</c:v>
                </c:pt>
                <c:pt idx="1">
                  <c:v>0.97082039324993685</c:v>
                </c:pt>
                <c:pt idx="2">
                  <c:v>0.906225774829855</c:v>
                </c:pt>
                <c:pt idx="3">
                  <c:v>0.82195444572928866</c:v>
                </c:pt>
                <c:pt idx="4">
                  <c:v>0.72469507659595989</c:v>
                </c:pt>
                <c:pt idx="5">
                  <c:v>0.6180339887498949</c:v>
                </c:pt>
                <c:pt idx="6">
                  <c:v>0.50415945787922967</c:v>
                </c:pt>
                <c:pt idx="7">
                  <c:v>0.38452325786651298</c:v>
                </c:pt>
                <c:pt idx="8">
                  <c:v>0.26014705087354439</c:v>
                </c:pt>
                <c:pt idx="9">
                  <c:v>0.13178210632763543</c:v>
                </c:pt>
                <c:pt idx="10">
                  <c:v>2.2204460492503131E-16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01-40A2-ABAB-CFCBA47A8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06048"/>
        <c:axId val="123508224"/>
      </c:scatterChart>
      <c:scatterChart>
        <c:scatterStyle val="smoothMarker"/>
        <c:varyColors val="0"/>
        <c:ser>
          <c:idx val="1"/>
          <c:order val="1"/>
          <c:xVal>
            <c:numRef>
              <c:f>Номограммы!$I$116:$I$126</c:f>
              <c:numCache>
                <c:formatCode>General</c:formatCode>
                <c:ptCount val="11"/>
                <c:pt idx="0">
                  <c:v>0.54847791947908664</c:v>
                </c:pt>
                <c:pt idx="1">
                  <c:v>0.61586942565134228</c:v>
                </c:pt>
                <c:pt idx="2">
                  <c:v>0.71836359006965378</c:v>
                </c:pt>
                <c:pt idx="3">
                  <c:v>0.82514270377026799</c:v>
                </c:pt>
                <c:pt idx="4">
                  <c:v>0.93188579585142295</c:v>
                </c:pt>
                <c:pt idx="5">
                  <c:v>1.0376497547039276</c:v>
                </c:pt>
                <c:pt idx="6">
                  <c:v>1.1422494053378898</c:v>
                </c:pt>
                <c:pt idx="7">
                  <c:v>1.2457092864388488</c:v>
                </c:pt>
                <c:pt idx="8">
                  <c:v>1.3481129280870985</c:v>
                </c:pt>
                <c:pt idx="9">
                  <c:v>1.4495553258214009</c:v>
                </c:pt>
                <c:pt idx="10">
                  <c:v>1.5501273231165382</c:v>
                </c:pt>
              </c:numCache>
            </c:numRef>
          </c:xVal>
          <c:yVal>
            <c:numRef>
              <c:f>Номограммы!$J$116:$J$126</c:f>
              <c:numCache>
                <c:formatCode>General</c:formatCode>
                <c:ptCount val="11"/>
                <c:pt idx="0">
                  <c:v>0</c:v>
                </c:pt>
                <c:pt idx="1">
                  <c:v>0.25169739859664686</c:v>
                </c:pt>
                <c:pt idx="2">
                  <c:v>0.43157179582730121</c:v>
                </c:pt>
                <c:pt idx="3">
                  <c:v>0.56358517721855195</c:v>
                </c:pt>
                <c:pt idx="4">
                  <c:v>0.66537222909391192</c:v>
                </c:pt>
                <c:pt idx="5">
                  <c:v>0.74694149740286686</c:v>
                </c:pt>
                <c:pt idx="6">
                  <c:v>0.81424983854099386</c:v>
                </c:pt>
                <c:pt idx="7">
                  <c:v>0.8710612805043445</c:v>
                </c:pt>
                <c:pt idx="8">
                  <c:v>0.91987980580593509</c:v>
                </c:pt>
                <c:pt idx="9">
                  <c:v>0.96244314787663099</c:v>
                </c:pt>
                <c:pt idx="1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01-40A2-ABAB-CFCBA47A8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27936"/>
        <c:axId val="123509760"/>
      </c:scatterChart>
      <c:valAx>
        <c:axId val="123506048"/>
        <c:scaling>
          <c:orientation val="minMax"/>
          <c:max val="1.6"/>
          <c:min val="0.53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b2/b1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36887489063867029"/>
              <c:y val="0.9320543422638208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3508224"/>
        <c:crosses val="autoZero"/>
        <c:crossBetween val="midCat"/>
      </c:valAx>
      <c:valAx>
        <c:axId val="123508224"/>
        <c:scaling>
          <c:orientation val="minMax"/>
          <c:max val="1"/>
        </c:scaling>
        <c:delete val="0"/>
        <c:axPos val="l"/>
        <c:majorGridlines/>
        <c:minorGridlines/>
        <c:numFmt formatCode="General" sourceLinked="1"/>
        <c:majorTickMark val="none"/>
        <c:minorTickMark val="none"/>
        <c:tickLblPos val="nextTo"/>
        <c:crossAx val="123506048"/>
        <c:crosses val="autoZero"/>
        <c:crossBetween val="midCat"/>
      </c:valAx>
      <c:valAx>
        <c:axId val="123509760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23527936"/>
        <c:crosses val="max"/>
        <c:crossBetween val="midCat"/>
      </c:valAx>
      <c:valAx>
        <c:axId val="12352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509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098600174978133"/>
          <c:y val="0.42418065666320015"/>
          <c:w val="0.15835418912884855"/>
          <c:h val="0.1476586618692963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63362</xdr:colOff>
      <xdr:row>0</xdr:row>
      <xdr:rowOff>114300</xdr:rowOff>
    </xdr:from>
    <xdr:to>
      <xdr:col>17</xdr:col>
      <xdr:colOff>368162</xdr:colOff>
      <xdr:row>12</xdr:row>
      <xdr:rowOff>228600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5174EFE-381F-4DF6-8F31-B938298CB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14</xdr:row>
      <xdr:rowOff>19050</xdr:rowOff>
    </xdr:from>
    <xdr:to>
      <xdr:col>17</xdr:col>
      <xdr:colOff>390525</xdr:colOff>
      <xdr:row>26</xdr:row>
      <xdr:rowOff>190500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CB76DEE-C654-402C-992F-746E5D4D4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104775</xdr:colOff>
      <xdr:row>29</xdr:row>
      <xdr:rowOff>57150</xdr:rowOff>
    </xdr:from>
    <xdr:to>
      <xdr:col>17</xdr:col>
      <xdr:colOff>409575</xdr:colOff>
      <xdr:row>41</xdr:row>
      <xdr:rowOff>228600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F677CE04-F74F-4414-BC04-2EB22774D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43</xdr:row>
      <xdr:rowOff>0</xdr:rowOff>
    </xdr:from>
    <xdr:to>
      <xdr:col>17</xdr:col>
      <xdr:colOff>304800</xdr:colOff>
      <xdr:row>55</xdr:row>
      <xdr:rowOff>171450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3AFAC92A-46A5-4F5C-A147-34F453047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57</xdr:row>
      <xdr:rowOff>0</xdr:rowOff>
    </xdr:from>
    <xdr:to>
      <xdr:col>17</xdr:col>
      <xdr:colOff>304800</xdr:colOff>
      <xdr:row>69</xdr:row>
      <xdr:rowOff>171450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8D47343E-AE07-408E-A376-6264271B4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71</xdr:row>
      <xdr:rowOff>0</xdr:rowOff>
    </xdr:from>
    <xdr:to>
      <xdr:col>17</xdr:col>
      <xdr:colOff>304800</xdr:colOff>
      <xdr:row>83</xdr:row>
      <xdr:rowOff>171450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19A162F7-04F7-49D5-AABD-CA5E6D7C08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85</xdr:row>
      <xdr:rowOff>0</xdr:rowOff>
    </xdr:from>
    <xdr:to>
      <xdr:col>17</xdr:col>
      <xdr:colOff>304800</xdr:colOff>
      <xdr:row>97</xdr:row>
      <xdr:rowOff>171450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F96B8448-92BA-4CA9-ACE3-0078D5311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99</xdr:row>
      <xdr:rowOff>0</xdr:rowOff>
    </xdr:from>
    <xdr:to>
      <xdr:col>17</xdr:col>
      <xdr:colOff>304800</xdr:colOff>
      <xdr:row>111</xdr:row>
      <xdr:rowOff>171450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FFF8287E-5D65-42EA-ADAE-D15A76225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113</xdr:row>
      <xdr:rowOff>0</xdr:rowOff>
    </xdr:from>
    <xdr:to>
      <xdr:col>17</xdr:col>
      <xdr:colOff>304800</xdr:colOff>
      <xdr:row>125</xdr:row>
      <xdr:rowOff>171450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932C4DFD-2EDC-4CEF-92A0-BEC4D3606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2F378-4B86-4755-BEDC-1FCED87AA846}">
  <dimension ref="A1:S17"/>
  <sheetViews>
    <sheetView workbookViewId="0">
      <selection activeCell="B34" sqref="B34"/>
    </sheetView>
  </sheetViews>
  <sheetFormatPr defaultRowHeight="15" x14ac:dyDescent="0.25"/>
  <cols>
    <col min="1" max="1" width="17.42578125" customWidth="1"/>
  </cols>
  <sheetData>
    <row r="1" spans="1:19" ht="18.75" x14ac:dyDescent="0.25">
      <c r="A1" s="10" t="s">
        <v>0</v>
      </c>
      <c r="B1" s="1" t="s">
        <v>1</v>
      </c>
      <c r="C1" s="12">
        <v>1.1000000000000001</v>
      </c>
      <c r="D1" s="12" t="s">
        <v>18</v>
      </c>
      <c r="E1" s="13">
        <v>1.2</v>
      </c>
      <c r="F1" s="1" t="s">
        <v>19</v>
      </c>
      <c r="G1" s="12">
        <v>2.1</v>
      </c>
      <c r="H1" s="12" t="s">
        <v>20</v>
      </c>
      <c r="I1" s="13">
        <v>2.2000000000000002</v>
      </c>
      <c r="J1" s="1" t="s">
        <v>21</v>
      </c>
      <c r="K1" s="13">
        <v>3.1</v>
      </c>
      <c r="L1" s="1" t="s">
        <v>22</v>
      </c>
      <c r="M1" s="12">
        <v>4.0999999999999996</v>
      </c>
      <c r="N1" s="12" t="s">
        <v>23</v>
      </c>
      <c r="O1" s="2">
        <v>4.2</v>
      </c>
      <c r="P1" s="1" t="s">
        <v>24</v>
      </c>
      <c r="Q1" s="12">
        <v>5.0999999999999996</v>
      </c>
      <c r="R1" s="12" t="s">
        <v>25</v>
      </c>
      <c r="S1" s="2">
        <v>5.2</v>
      </c>
    </row>
    <row r="2" spans="1:19" ht="18.75" x14ac:dyDescent="0.25">
      <c r="A2" s="8" t="s">
        <v>2</v>
      </c>
      <c r="B2" s="3">
        <f>914/2</f>
        <v>457</v>
      </c>
      <c r="C2" s="11">
        <f>1258/2</f>
        <v>629</v>
      </c>
      <c r="D2" s="11">
        <f>1897/2</f>
        <v>948.5</v>
      </c>
      <c r="E2" s="14">
        <f>8700/2</f>
        <v>4350</v>
      </c>
      <c r="F2" s="3">
        <f>2259/2</f>
        <v>1129.5</v>
      </c>
      <c r="G2" s="11">
        <f>1597/2</f>
        <v>798.5</v>
      </c>
      <c r="H2" s="11">
        <f>1217/2</f>
        <v>608.5</v>
      </c>
      <c r="I2" s="14">
        <f>2482/2</f>
        <v>1241</v>
      </c>
      <c r="J2" s="3">
        <f>422/2</f>
        <v>211</v>
      </c>
      <c r="K2" s="14">
        <f>4644/2</f>
        <v>2322</v>
      </c>
      <c r="L2" s="3">
        <f>669.5/2</f>
        <v>334.75</v>
      </c>
      <c r="M2" s="11">
        <f>4666/2</f>
        <v>2333</v>
      </c>
      <c r="N2" s="11">
        <f>673/2</f>
        <v>336.5</v>
      </c>
      <c r="O2" s="4">
        <f>6784/2</f>
        <v>3392</v>
      </c>
      <c r="P2" s="3">
        <f>1832/2</f>
        <v>916</v>
      </c>
      <c r="Q2" s="11">
        <f>2193/2</f>
        <v>1096.5</v>
      </c>
      <c r="R2" s="11">
        <f>942/2</f>
        <v>471</v>
      </c>
      <c r="S2" s="4">
        <f>2182/2</f>
        <v>1091</v>
      </c>
    </row>
    <row r="3" spans="1:19" ht="18.75" x14ac:dyDescent="0.25">
      <c r="A3" s="8" t="s">
        <v>3</v>
      </c>
      <c r="B3" s="3">
        <f>21.7347-21.6764</f>
        <v>5.829999999999913E-2</v>
      </c>
      <c r="C3" s="11">
        <f>37.17-37.08</f>
        <v>9.0000000000003411E-2</v>
      </c>
      <c r="D3" s="11">
        <f>22.075-22.036</f>
        <v>3.8999999999997925E-2</v>
      </c>
      <c r="E3" s="14">
        <f>37.8135-37.745</f>
        <v>6.8500000000000227E-2</v>
      </c>
      <c r="F3" s="3">
        <f>21.76385-21.725</f>
        <v>3.8850000000000051E-2</v>
      </c>
      <c r="G3" s="11">
        <f>25.34125-25.28295</f>
        <v>5.829999999999913E-2</v>
      </c>
      <c r="H3" s="11">
        <f>22.43465-22.386</f>
        <v>4.865000000000208E-2</v>
      </c>
      <c r="I3" s="14">
        <f>32.61265-32.51545</f>
        <v>9.7200000000000841E-2</v>
      </c>
      <c r="J3" s="3">
        <f>22.45405-22.34715</f>
        <v>0.10689999999999955</v>
      </c>
      <c r="K3" s="14">
        <f>32.6321-32.5349</f>
        <v>9.7200000000000841E-2</v>
      </c>
      <c r="L3" s="3">
        <f>21.7347-21.6861</f>
        <v>4.8600000000000421E-2</v>
      </c>
      <c r="M3" s="11">
        <f>37.20105-37.0747</f>
        <v>0.12635000000000218</v>
      </c>
      <c r="N3" s="11">
        <f>22.06525-21.968</f>
        <v>9.7249999999998948E-2</v>
      </c>
      <c r="O3" s="4">
        <f>37.79405-37.64825</f>
        <v>0.14580000000000126</v>
      </c>
      <c r="P3" s="3">
        <f>21.76385-21.6861</f>
        <v>7.7750000000001762E-2</v>
      </c>
      <c r="Q3" s="11">
        <f>37.1816-37.06495</f>
        <v>0.11664999999999992</v>
      </c>
      <c r="R3" s="11">
        <f>22.43465-22.3666</f>
        <v>6.8050000000003052E-2</v>
      </c>
      <c r="S3" s="4">
        <f>32.61265-32.496</f>
        <v>0.11664999999999992</v>
      </c>
    </row>
    <row r="4" spans="1:19" ht="18.75" x14ac:dyDescent="0.25">
      <c r="A4" s="8" t="s">
        <v>4</v>
      </c>
      <c r="B4" s="3">
        <v>21.715250000000001</v>
      </c>
      <c r="C4" s="11">
        <v>37.1233</v>
      </c>
      <c r="D4" s="11">
        <v>22.045999999999999</v>
      </c>
      <c r="E4" s="14">
        <v>37.774000000000001</v>
      </c>
      <c r="F4" s="3">
        <v>21.7347</v>
      </c>
      <c r="G4" s="11">
        <v>25.312100000000001</v>
      </c>
      <c r="H4" s="11">
        <v>22.405449999999998</v>
      </c>
      <c r="I4" s="14">
        <v>32.564050000000002</v>
      </c>
      <c r="J4" s="3">
        <v>22.415199999999999</v>
      </c>
      <c r="K4" s="14">
        <v>32.573799999999999</v>
      </c>
      <c r="L4" s="3">
        <v>21.705500000000001</v>
      </c>
      <c r="M4" s="11">
        <v>37.133000000000003</v>
      </c>
      <c r="N4" s="11">
        <v>22.026350000000001</v>
      </c>
      <c r="O4" s="4">
        <v>37.716299999999997</v>
      </c>
      <c r="P4" s="3">
        <v>21.715250000000001</v>
      </c>
      <c r="Q4" s="11">
        <v>37.113549999999996</v>
      </c>
      <c r="R4" s="11">
        <v>22.376300000000001</v>
      </c>
      <c r="S4" s="4">
        <v>32.544649999999997</v>
      </c>
    </row>
    <row r="5" spans="1:19" ht="18.75" x14ac:dyDescent="0.25">
      <c r="A5" s="7" t="s">
        <v>5</v>
      </c>
      <c r="B5" s="3">
        <v>0.03</v>
      </c>
      <c r="C5" s="11">
        <v>0.04</v>
      </c>
      <c r="D5" s="11">
        <v>0.03</v>
      </c>
      <c r="E5" s="14">
        <v>0.04</v>
      </c>
      <c r="F5" s="3">
        <v>0.03</v>
      </c>
      <c r="G5" s="11">
        <v>0.03</v>
      </c>
      <c r="H5" s="11">
        <v>0.03</v>
      </c>
      <c r="I5" s="14">
        <v>0.04</v>
      </c>
      <c r="J5" s="3">
        <v>0.03</v>
      </c>
      <c r="K5" s="14">
        <v>0.04</v>
      </c>
      <c r="L5" s="3">
        <v>0.03</v>
      </c>
      <c r="M5" s="11">
        <v>0.04</v>
      </c>
      <c r="N5" s="11">
        <v>0.03</v>
      </c>
      <c r="O5" s="4">
        <v>0.04</v>
      </c>
      <c r="P5" s="3">
        <v>0.03</v>
      </c>
      <c r="Q5" s="11">
        <v>0.04</v>
      </c>
      <c r="R5" s="11">
        <v>0.03</v>
      </c>
      <c r="S5" s="4">
        <v>0.04</v>
      </c>
    </row>
    <row r="6" spans="1:19" ht="18.75" x14ac:dyDescent="0.25">
      <c r="A6" s="8" t="s">
        <v>6</v>
      </c>
      <c r="B6" s="3">
        <f>(SQRT(B3*B3-B5*B5)+(B3-B5))/2</f>
        <v>3.9144449383812258E-2</v>
      </c>
      <c r="C6" s="11">
        <f>(SQRT(C3*C3-C5*C5)+(C3-C5))/2</f>
        <v>6.5311288741496359E-2</v>
      </c>
      <c r="D6" s="11">
        <f t="shared" ref="D6:L6" si="0">(SQRT(D3*D3-D5*D5)+(D3-D5))/2</f>
        <v>1.6959935794374451E-2</v>
      </c>
      <c r="E6" s="14">
        <f t="shared" si="0"/>
        <v>4.2054001510574229E-2</v>
      </c>
      <c r="F6" s="3">
        <f t="shared" si="0"/>
        <v>1.6767229336712298E-2</v>
      </c>
      <c r="G6" s="11">
        <f>(SQRT(G3*G3-G5*G5)+(G3-G5))/2</f>
        <v>3.9144449383812258E-2</v>
      </c>
      <c r="H6" s="11">
        <f t="shared" si="0"/>
        <v>2.8474559394411417E-2</v>
      </c>
      <c r="I6" s="14">
        <f t="shared" si="0"/>
        <v>7.2894017654758725E-2</v>
      </c>
      <c r="J6" s="3">
        <f t="shared" si="0"/>
        <v>8.9752071108289116E-2</v>
      </c>
      <c r="K6" s="14">
        <f>(SQRT(K3*K3-K5*K5)+(K3-K5))/2</f>
        <v>7.2894017654758725E-2</v>
      </c>
      <c r="L6" s="3">
        <f t="shared" si="0"/>
        <v>2.8417792759626262E-2</v>
      </c>
      <c r="M6" s="11">
        <f>(SQRT(M3*M3-M5*M5)+(M3-M5))/2</f>
        <v>0.10310062577896262</v>
      </c>
      <c r="N6" s="11">
        <f t="shared" ref="N6" si="1">(SQRT(N3*N3-N5*N5)+(N3-N5))/2</f>
        <v>7.9878547161270783E-2</v>
      </c>
      <c r="O6" s="4">
        <f>(SQRT(O3*O3-O5*O5)+(O3-O5))/2</f>
        <v>0.12300285300899087</v>
      </c>
      <c r="P6" s="3">
        <f t="shared" ref="P6" si="2">(SQRT(P3*P3-P5*P5)+(P3-P5))/2</f>
        <v>5.9739545515036602E-2</v>
      </c>
      <c r="Q6" s="11">
        <f>(SQRT(Q3*Q3-Q5*Q5)+(Q3-Q5))/2</f>
        <v>9.311373629679727E-2</v>
      </c>
      <c r="R6" s="11">
        <f t="shared" ref="R6" si="3">(SQRT(R3*R3-R5*R5)+(R3-R5))/2</f>
        <v>4.9565147756685746E-2</v>
      </c>
      <c r="S6" s="4">
        <f>(SQRT(S3*S3-S5*S5)+(S3-S5))/2</f>
        <v>9.311373629679727E-2</v>
      </c>
    </row>
    <row r="7" spans="1:19" ht="18.75" x14ac:dyDescent="0.25">
      <c r="A7" s="8" t="s">
        <v>7</v>
      </c>
      <c r="B7" s="17">
        <f t="shared" ref="B7" si="4">CEILING(C6/B6,0.001)</f>
        <v>1.669</v>
      </c>
      <c r="C7" s="18"/>
      <c r="D7" s="18">
        <f t="shared" ref="D7" si="5">CEILING(E6/D6,0.001)</f>
        <v>2.48</v>
      </c>
      <c r="E7" s="27"/>
      <c r="F7" s="17">
        <f>CEILING(G6/F6,0.001)</f>
        <v>2.335</v>
      </c>
      <c r="G7" s="18"/>
      <c r="H7" s="18">
        <f t="shared" ref="H7" si="6">CEILING(I6/H6,0.001)</f>
        <v>2.56</v>
      </c>
      <c r="I7" s="27"/>
      <c r="J7" s="17">
        <f>CEILING(K6/J6,0.001)</f>
        <v>0.81300000000000006</v>
      </c>
      <c r="K7" s="27"/>
      <c r="L7" s="17">
        <f>CEILING(M6/L6,0.001)</f>
        <v>3.629</v>
      </c>
      <c r="M7" s="18"/>
      <c r="N7" s="18">
        <f>CEILING(O6/N6,0.001)</f>
        <v>1.54</v>
      </c>
      <c r="O7" s="19"/>
      <c r="P7" s="17">
        <f>CEILING(Q6/P6,0.001)</f>
        <v>1.5589999999999999</v>
      </c>
      <c r="Q7" s="18"/>
      <c r="R7" s="18">
        <f>CEILING(S6/R6,0.001)</f>
        <v>1.879</v>
      </c>
      <c r="S7" s="19"/>
    </row>
    <row r="8" spans="1:19" ht="18.75" x14ac:dyDescent="0.25">
      <c r="A8" s="7" t="s">
        <v>8</v>
      </c>
      <c r="B8" s="17">
        <f>CEILING(COS(RADIANS(B4))/COS(RADIANS(C4)),0.001)</f>
        <v>1.1659999999999999</v>
      </c>
      <c r="C8" s="18"/>
      <c r="D8" s="18">
        <f t="shared" ref="D8" si="7">CEILING(COS(RADIANS(D4))/COS(RADIANS(E4)),0.001)</f>
        <v>1.173</v>
      </c>
      <c r="E8" s="27"/>
      <c r="F8" s="17">
        <f t="shared" ref="F8" si="8">CEILING(COS(RADIANS(F4))/COS(RADIANS(G4)),0.001)</f>
        <v>1.028</v>
      </c>
      <c r="G8" s="18"/>
      <c r="H8" s="18">
        <f t="shared" ref="H8" si="9">CEILING(COS(RADIANS(H4))/COS(RADIANS(I4)),0.001)</f>
        <v>1.097</v>
      </c>
      <c r="I8" s="27"/>
      <c r="J8" s="17">
        <f>CEILING(COS(RADIANS(J4))/COS(RADIANS(K4)),0.001)</f>
        <v>1.0980000000000001</v>
      </c>
      <c r="K8" s="27"/>
      <c r="L8" s="17">
        <f>CEILING(COS(RADIANS(L4))/COS(RADIANS(M4)),0.001)</f>
        <v>1.1659999999999999</v>
      </c>
      <c r="M8" s="18"/>
      <c r="N8" s="18">
        <f>CEILING(COS(RADIANS(N4))/COS(RADIANS(O4)),0.001)</f>
        <v>1.1719999999999999</v>
      </c>
      <c r="O8" s="19"/>
      <c r="P8" s="17">
        <f>CEILING(COS(RADIANS(P4))/COS(RADIANS(Q4)),0.001)</f>
        <v>1.1659999999999999</v>
      </c>
      <c r="Q8" s="18"/>
      <c r="R8" s="18">
        <f>CEILING(COS(RADIANS(R4))/COS(RADIANS(S4)),0.001)</f>
        <v>1.097</v>
      </c>
      <c r="S8" s="19"/>
    </row>
    <row r="9" spans="1:19" ht="18.75" x14ac:dyDescent="0.25">
      <c r="A9" s="7" t="s">
        <v>9</v>
      </c>
      <c r="B9" s="17">
        <f>CEILING(TAN(RADIANS(C4))/TAN(RADIANS(B4)),0.001)</f>
        <v>1.901</v>
      </c>
      <c r="C9" s="18"/>
      <c r="D9" s="18">
        <f t="shared" ref="D9" si="10">CEILING(TAN(RADIANS(E4))/TAN(RADIANS(D4)),0.001)</f>
        <v>1.9140000000000001</v>
      </c>
      <c r="E9" s="27"/>
      <c r="F9" s="17">
        <f t="shared" ref="F9" si="11">CEILING(TAN(RADIANS(G4))/TAN(RADIANS(F4)),0.001)</f>
        <v>1.1870000000000001</v>
      </c>
      <c r="G9" s="18"/>
      <c r="H9" s="18">
        <f t="shared" ref="H9" si="12">CEILING(TAN(RADIANS(I4))/TAN(RADIANS(H4)),0.001)</f>
        <v>1.55</v>
      </c>
      <c r="I9" s="27"/>
      <c r="J9" s="17">
        <f>CEILING(TAN(RADIANS(K4))/TAN(RADIANS(J4)),0.001)</f>
        <v>1.5489999999999999</v>
      </c>
      <c r="K9" s="27"/>
      <c r="L9" s="17">
        <f>CEILING(TAN(RADIANS(M4))/TAN(RADIANS(L4)),0.001)</f>
        <v>1.903</v>
      </c>
      <c r="M9" s="18"/>
      <c r="N9" s="18">
        <f>CEILING(TAN(RADIANS(O4))/TAN(RADIANS(N4)),0.001)</f>
        <v>1.9120000000000001</v>
      </c>
      <c r="O9" s="19"/>
      <c r="P9" s="17">
        <f>CEILING(TAN(RADIANS(Q4))/TAN(RADIANS(P4)),0.001)</f>
        <v>1.9000000000000001</v>
      </c>
      <c r="Q9" s="18"/>
      <c r="R9" s="18">
        <f>CEILING(TAN(RADIANS(S4))/TAN(RADIANS(R4)),0.001)</f>
        <v>1.5509999999999999</v>
      </c>
      <c r="S9" s="19"/>
    </row>
    <row r="10" spans="1:19" ht="18.75" x14ac:dyDescent="0.25">
      <c r="A10" s="8" t="s">
        <v>10</v>
      </c>
      <c r="B10" s="3">
        <f>RADIANS(B6)/4*TAN(RADIANS(B4))</f>
        <v>6.8022193356924283E-5</v>
      </c>
      <c r="C10" s="11">
        <f t="shared" ref="C10:M10" si="13">RADIANS(C6)/4*TAN(RADIANS(C4))</f>
        <v>2.1570656763525553E-4</v>
      </c>
      <c r="D10" s="11">
        <f t="shared" si="13"/>
        <v>2.9967752632893399E-5</v>
      </c>
      <c r="E10" s="14">
        <f t="shared" si="13"/>
        <v>1.4220014424681107E-4</v>
      </c>
      <c r="F10" s="3">
        <f t="shared" si="13"/>
        <v>2.9165571620885628E-5</v>
      </c>
      <c r="G10" s="11">
        <f t="shared" si="13"/>
        <v>8.0780868492058133E-5</v>
      </c>
      <c r="H10" s="11">
        <f t="shared" si="13"/>
        <v>5.1223385632612893E-5</v>
      </c>
      <c r="I10" s="14">
        <f t="shared" si="13"/>
        <v>2.0312688008904895E-4</v>
      </c>
      <c r="J10" s="30" t="s">
        <v>35</v>
      </c>
      <c r="K10" s="31"/>
      <c r="L10" s="3">
        <f t="shared" si="13"/>
        <v>4.9357794604844524E-5</v>
      </c>
      <c r="M10" s="11">
        <f t="shared" si="13"/>
        <v>3.4063494334829421E-4</v>
      </c>
      <c r="N10" s="11">
        <f t="shared" ref="N10:Q10" si="14">RADIANS(N6)/4*TAN(RADIANS(N4))</f>
        <v>1.4100413882653094E-4</v>
      </c>
      <c r="O10" s="4">
        <f t="shared" si="14"/>
        <v>4.150537679126745E-4</v>
      </c>
      <c r="P10" s="3">
        <f t="shared" si="14"/>
        <v>1.0381075682620434E-4</v>
      </c>
      <c r="Q10" s="11">
        <f t="shared" si="14"/>
        <v>3.0742224174125561E-4</v>
      </c>
      <c r="R10" s="11">
        <f t="shared" ref="R10:S10" si="15">RADIANS(R6)/4*TAN(RADIANS(R4))</f>
        <v>8.903491085982237E-5</v>
      </c>
      <c r="S10" s="4">
        <f t="shared" si="15"/>
        <v>2.5927762984398798E-4</v>
      </c>
    </row>
    <row r="11" spans="1:19" ht="19.5" thickBot="1" x14ac:dyDescent="0.3">
      <c r="A11" s="9" t="s">
        <v>11</v>
      </c>
      <c r="B11" s="3">
        <f>0.94*1.54051/RADIANS(B6)*COS(RADIANS(B4))</f>
        <v>1969.1395105519027</v>
      </c>
      <c r="C11" s="11">
        <f t="shared" ref="C11:M11" si="16">0.94*1.54051/RADIANS(C6)*COS(RADIANS(C4))</f>
        <v>1012.9068835287248</v>
      </c>
      <c r="D11" s="11" t="s">
        <v>35</v>
      </c>
      <c r="E11" s="14" t="s">
        <v>35</v>
      </c>
      <c r="F11" s="3" t="s">
        <v>35</v>
      </c>
      <c r="G11" s="11" t="s">
        <v>35</v>
      </c>
      <c r="H11" s="11" t="s">
        <v>35</v>
      </c>
      <c r="I11" s="14" t="s">
        <v>35</v>
      </c>
      <c r="J11" s="3">
        <f t="shared" si="16"/>
        <v>854.57771382713815</v>
      </c>
      <c r="K11" s="14">
        <f t="shared" si="16"/>
        <v>959.16965752459305</v>
      </c>
      <c r="L11" s="3" t="s">
        <v>35</v>
      </c>
      <c r="M11" s="11" t="s">
        <v>35</v>
      </c>
      <c r="N11" s="11">
        <f t="shared" ref="N11:Q11" si="17">0.94*1.54051/RADIANS(N6)*COS(RADIANS(N4))</f>
        <v>962.87511252310583</v>
      </c>
      <c r="O11" s="4">
        <f t="shared" si="17"/>
        <v>533.58486071757625</v>
      </c>
      <c r="P11" s="3">
        <f t="shared" si="17"/>
        <v>1290.28236214255</v>
      </c>
      <c r="Q11" s="11">
        <f t="shared" si="17"/>
        <v>710.55868605297394</v>
      </c>
      <c r="R11" s="11" t="s">
        <v>35</v>
      </c>
      <c r="S11" s="4" t="s">
        <v>35</v>
      </c>
    </row>
    <row r="12" spans="1:19" ht="18.75" x14ac:dyDescent="0.3">
      <c r="A12" s="6" t="s">
        <v>12</v>
      </c>
      <c r="B12" s="25">
        <v>0.32</v>
      </c>
      <c r="C12" s="23"/>
      <c r="D12" s="23" t="s">
        <v>35</v>
      </c>
      <c r="E12" s="26"/>
      <c r="F12" s="25" t="s">
        <v>35</v>
      </c>
      <c r="G12" s="23"/>
      <c r="H12" s="23" t="s">
        <v>35</v>
      </c>
      <c r="I12" s="26"/>
      <c r="J12" s="25" t="s">
        <v>35</v>
      </c>
      <c r="K12" s="26"/>
      <c r="L12" s="25" t="s">
        <v>35</v>
      </c>
      <c r="M12" s="23"/>
      <c r="N12" s="23">
        <v>0.2</v>
      </c>
      <c r="O12" s="24"/>
      <c r="P12" s="25">
        <v>0.2</v>
      </c>
      <c r="Q12" s="23"/>
      <c r="R12" s="23" t="s">
        <v>35</v>
      </c>
      <c r="S12" s="24"/>
    </row>
    <row r="13" spans="1:19" ht="18.75" x14ac:dyDescent="0.3">
      <c r="A13" s="7" t="s">
        <v>13</v>
      </c>
      <c r="B13" s="25">
        <v>0.9</v>
      </c>
      <c r="C13" s="23"/>
      <c r="D13" s="23" t="s">
        <v>35</v>
      </c>
      <c r="E13" s="26"/>
      <c r="F13" s="25" t="s">
        <v>35</v>
      </c>
      <c r="G13" s="23"/>
      <c r="H13" s="23" t="s">
        <v>35</v>
      </c>
      <c r="I13" s="26"/>
      <c r="J13" s="25" t="s">
        <v>35</v>
      </c>
      <c r="K13" s="26"/>
      <c r="L13" s="25" t="s">
        <v>35</v>
      </c>
      <c r="M13" s="23"/>
      <c r="N13" s="23">
        <v>0.94</v>
      </c>
      <c r="O13" s="24"/>
      <c r="P13" s="25">
        <v>0.94</v>
      </c>
      <c r="Q13" s="23"/>
      <c r="R13" s="23" t="s">
        <v>35</v>
      </c>
      <c r="S13" s="24"/>
    </row>
    <row r="14" spans="1:19" ht="18.75" x14ac:dyDescent="0.3">
      <c r="A14" s="7" t="s">
        <v>14</v>
      </c>
      <c r="B14" s="25">
        <f>B12*B6</f>
        <v>1.2526223802819923E-2</v>
      </c>
      <c r="C14" s="23"/>
      <c r="D14" s="23" t="s">
        <v>35</v>
      </c>
      <c r="E14" s="26"/>
      <c r="F14" s="25" t="s">
        <v>35</v>
      </c>
      <c r="G14" s="23"/>
      <c r="H14" s="23" t="s">
        <v>35</v>
      </c>
      <c r="I14" s="26"/>
      <c r="J14" s="25" t="s">
        <v>35</v>
      </c>
      <c r="K14" s="26"/>
      <c r="L14" s="25" t="s">
        <v>35</v>
      </c>
      <c r="M14" s="23"/>
      <c r="N14" s="23">
        <f>N12*N6</f>
        <v>1.5975709432254157E-2</v>
      </c>
      <c r="O14" s="24"/>
      <c r="P14" s="25">
        <f>P12*P6</f>
        <v>1.1947909103007321E-2</v>
      </c>
      <c r="Q14" s="23"/>
      <c r="R14" s="23" t="s">
        <v>35</v>
      </c>
      <c r="S14" s="24"/>
    </row>
    <row r="15" spans="1:19" ht="18.75" x14ac:dyDescent="0.3">
      <c r="A15" s="7" t="s">
        <v>15</v>
      </c>
      <c r="B15" s="25">
        <f>B13*C6</f>
        <v>5.8780159867346728E-2</v>
      </c>
      <c r="C15" s="23"/>
      <c r="D15" s="23" t="s">
        <v>35</v>
      </c>
      <c r="E15" s="26"/>
      <c r="F15" s="25" t="s">
        <v>35</v>
      </c>
      <c r="G15" s="23"/>
      <c r="H15" s="23" t="s">
        <v>35</v>
      </c>
      <c r="I15" s="26"/>
      <c r="J15" s="25" t="s">
        <v>35</v>
      </c>
      <c r="K15" s="26"/>
      <c r="L15" s="25" t="s">
        <v>35</v>
      </c>
      <c r="M15" s="23"/>
      <c r="N15" s="23">
        <f>N13*O6</f>
        <v>0.11562268182845141</v>
      </c>
      <c r="O15" s="24"/>
      <c r="P15" s="25">
        <f>P13*Q6</f>
        <v>8.7526912118989428E-2</v>
      </c>
      <c r="Q15" s="23"/>
      <c r="R15" s="23" t="s">
        <v>35</v>
      </c>
      <c r="S15" s="24"/>
    </row>
    <row r="16" spans="1:19" ht="18.75" x14ac:dyDescent="0.25">
      <c r="A16" s="8" t="s">
        <v>16</v>
      </c>
      <c r="B16" s="17">
        <f>RADIANS(B15)/4*TAN(RADIANS(C4))</f>
        <v>1.9413591087172997E-4</v>
      </c>
      <c r="C16" s="18"/>
      <c r="D16" s="5">
        <f>RADIANS(D6)/4*TAN(RADIANS(D4))</f>
        <v>2.9967752632893399E-5</v>
      </c>
      <c r="E16" s="29">
        <f t="shared" ref="E16:I16" si="18">RADIANS(E6)/4*TAN(RADIANS(E4))</f>
        <v>1.4220014424681107E-4</v>
      </c>
      <c r="F16" s="5">
        <f>RADIANS(F6)/4*TAN(RADIANS(F4))</f>
        <v>2.9165571620885628E-5</v>
      </c>
      <c r="G16" s="29">
        <f t="shared" si="18"/>
        <v>8.0780868492058133E-5</v>
      </c>
      <c r="H16" s="5">
        <f>RADIANS(H6)/4*TAN(RADIANS(H4))</f>
        <v>5.1223385632612893E-5</v>
      </c>
      <c r="I16" s="29">
        <f t="shared" si="18"/>
        <v>2.0312688008904895E-4</v>
      </c>
      <c r="J16" s="17" t="s">
        <v>35</v>
      </c>
      <c r="K16" s="27"/>
      <c r="L16" s="5">
        <f>RADIANS(L6)/4*TAN(RADIANS(L4))</f>
        <v>4.9357794604844524E-5</v>
      </c>
      <c r="M16" s="29">
        <f t="shared" ref="M16" si="19">RADIANS(M6)/4*TAN(RADIANS(M4))</f>
        <v>3.4063494334829421E-4</v>
      </c>
      <c r="N16" s="18">
        <f>RADIANS(N15)/4*TAN(RADIANS(O4))</f>
        <v>3.9015054183791402E-4</v>
      </c>
      <c r="O16" s="19"/>
      <c r="P16" s="17">
        <f>RADIANS(P15)/4*TAN(RADIANS(Q4))</f>
        <v>2.8897690723678025E-4</v>
      </c>
      <c r="Q16" s="18"/>
      <c r="R16" s="5">
        <f>RADIANS(R6)/4*TAN(RADIANS(R4))</f>
        <v>8.903491085982237E-5</v>
      </c>
      <c r="S16" s="29">
        <f t="shared" ref="S16" si="20">RADIANS(S6)/4*TAN(RADIANS(S4))</f>
        <v>2.5927762984398798E-4</v>
      </c>
    </row>
    <row r="17" spans="1:19" ht="19.5" thickBot="1" x14ac:dyDescent="0.3">
      <c r="A17" s="9" t="s">
        <v>17</v>
      </c>
      <c r="B17" s="20">
        <f>0.94*1.54051/RADIANS(B14)*COS(RADIANS(B4))</f>
        <v>6153.5609704746967</v>
      </c>
      <c r="C17" s="21"/>
      <c r="D17" s="21" t="s">
        <v>35</v>
      </c>
      <c r="E17" s="28"/>
      <c r="F17" s="20" t="s">
        <v>35</v>
      </c>
      <c r="G17" s="21"/>
      <c r="H17" s="21" t="s">
        <v>35</v>
      </c>
      <c r="I17" s="28"/>
      <c r="J17" s="5">
        <f>J11</f>
        <v>854.57771382713815</v>
      </c>
      <c r="K17" s="15">
        <f>K11</f>
        <v>959.16965752459305</v>
      </c>
      <c r="L17" s="20" t="s">
        <v>35</v>
      </c>
      <c r="M17" s="21"/>
      <c r="N17" s="21">
        <f>0.94*1.54051/RADIANS(N14)*COS(RADIANS(N4))</f>
        <v>4814.3755626155289</v>
      </c>
      <c r="O17" s="22"/>
      <c r="P17" s="20">
        <f>0.94*1.54051/RADIANS(P14)*COS(RADIANS(P4))</f>
        <v>6451.4118107127497</v>
      </c>
      <c r="Q17" s="21"/>
      <c r="R17" s="21" t="s">
        <v>35</v>
      </c>
      <c r="S17" s="22"/>
    </row>
  </sheetData>
  <mergeCells count="76">
    <mergeCell ref="L7:M7"/>
    <mergeCell ref="J10:K10"/>
    <mergeCell ref="B7:C7"/>
    <mergeCell ref="D7:E7"/>
    <mergeCell ref="F7:G7"/>
    <mergeCell ref="H7:I7"/>
    <mergeCell ref="J7:K7"/>
    <mergeCell ref="J9:K9"/>
    <mergeCell ref="L9:M9"/>
    <mergeCell ref="B8:C8"/>
    <mergeCell ref="D8:E8"/>
    <mergeCell ref="F8:G8"/>
    <mergeCell ref="H8:I8"/>
    <mergeCell ref="J8:K8"/>
    <mergeCell ref="L8:M8"/>
    <mergeCell ref="B12:C12"/>
    <mergeCell ref="B9:C9"/>
    <mergeCell ref="D9:E9"/>
    <mergeCell ref="F9:G9"/>
    <mergeCell ref="H9:I9"/>
    <mergeCell ref="D12:E12"/>
    <mergeCell ref="J12:K12"/>
    <mergeCell ref="L12:M12"/>
    <mergeCell ref="D13:E13"/>
    <mergeCell ref="J13:K13"/>
    <mergeCell ref="L13:M13"/>
    <mergeCell ref="J14:K14"/>
    <mergeCell ref="L14:M14"/>
    <mergeCell ref="D15:E15"/>
    <mergeCell ref="J15:K15"/>
    <mergeCell ref="L15:M15"/>
    <mergeCell ref="J16:K16"/>
    <mergeCell ref="D17:E17"/>
    <mergeCell ref="L17:M17"/>
    <mergeCell ref="F17:G17"/>
    <mergeCell ref="F12:G12"/>
    <mergeCell ref="F13:G13"/>
    <mergeCell ref="F14:G14"/>
    <mergeCell ref="F15:G15"/>
    <mergeCell ref="H17:I17"/>
    <mergeCell ref="B13:C13"/>
    <mergeCell ref="B14:C14"/>
    <mergeCell ref="B15:C15"/>
    <mergeCell ref="B16:C16"/>
    <mergeCell ref="B17:C17"/>
    <mergeCell ref="D14:E14"/>
    <mergeCell ref="H12:I12"/>
    <mergeCell ref="H13:I13"/>
    <mergeCell ref="H14:I14"/>
    <mergeCell ref="H15:I15"/>
    <mergeCell ref="N15:O15"/>
    <mergeCell ref="N16:O16"/>
    <mergeCell ref="N17:O17"/>
    <mergeCell ref="P7:Q7"/>
    <mergeCell ref="R7:S7"/>
    <mergeCell ref="P8:Q8"/>
    <mergeCell ref="R8:S8"/>
    <mergeCell ref="P9:Q9"/>
    <mergeCell ref="R9:S9"/>
    <mergeCell ref="P12:Q12"/>
    <mergeCell ref="N7:O7"/>
    <mergeCell ref="N8:O8"/>
    <mergeCell ref="N9:O9"/>
    <mergeCell ref="N12:O12"/>
    <mergeCell ref="N13:O13"/>
    <mergeCell ref="N14:O14"/>
    <mergeCell ref="P16:Q16"/>
    <mergeCell ref="P17:Q17"/>
    <mergeCell ref="R17:S17"/>
    <mergeCell ref="R12:S12"/>
    <mergeCell ref="P13:Q13"/>
    <mergeCell ref="R13:S13"/>
    <mergeCell ref="P14:Q14"/>
    <mergeCell ref="R14:S14"/>
    <mergeCell ref="P15:Q15"/>
    <mergeCell ref="R15:S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1589-B151-42C7-8113-1F5C15F3F1CB}">
  <dimension ref="A1:J126"/>
  <sheetViews>
    <sheetView tabSelected="1" topLeftCell="A88" workbookViewId="0">
      <selection activeCell="A100" sqref="A100:J100"/>
    </sheetView>
  </sheetViews>
  <sheetFormatPr defaultRowHeight="15" x14ac:dyDescent="0.25"/>
  <cols>
    <col min="9" max="9" width="11.7109375" customWidth="1"/>
  </cols>
  <sheetData>
    <row r="1" spans="1:10" ht="18.75" x14ac:dyDescent="0.3">
      <c r="A1" s="32">
        <v>1.1000000000000001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.75" x14ac:dyDescent="0.25">
      <c r="A2" s="11" t="s">
        <v>26</v>
      </c>
      <c r="B2" s="11" t="s">
        <v>27</v>
      </c>
      <c r="C2" s="11" t="s">
        <v>28</v>
      </c>
      <c r="D2" s="11" t="s">
        <v>29</v>
      </c>
      <c r="E2" s="11" t="s">
        <v>30</v>
      </c>
      <c r="F2" s="11" t="s">
        <v>31</v>
      </c>
      <c r="G2" s="11" t="s">
        <v>32</v>
      </c>
      <c r="H2" s="11" t="s">
        <v>33</v>
      </c>
      <c r="I2" s="11" t="s">
        <v>7</v>
      </c>
      <c r="J2" s="16" t="s">
        <v>34</v>
      </c>
    </row>
    <row r="3" spans="1:10" ht="18.75" x14ac:dyDescent="0.25">
      <c r="A3" s="11">
        <f>43.4111/2</f>
        <v>21.705549999999999</v>
      </c>
      <c r="B3" s="11">
        <f>COS(RADIANS(A3))</f>
        <v>0.92909675136945979</v>
      </c>
      <c r="C3" s="11">
        <f>TAN(RADIANS(A3))</f>
        <v>0.39806054228379356</v>
      </c>
      <c r="D3" s="11">
        <f>50.6436/2</f>
        <v>25.3218</v>
      </c>
      <c r="E3" s="11">
        <f>COS(RADIANS(D3))</f>
        <v>0.9039198823450737</v>
      </c>
      <c r="F3" s="11">
        <f>TAN(RADIANS(D3))</f>
        <v>0.47316341606598444</v>
      </c>
      <c r="G3" s="11">
        <v>0</v>
      </c>
      <c r="H3" s="11">
        <f>0.5*(1-4*G3+SQRT(8*G3+1))</f>
        <v>1</v>
      </c>
      <c r="I3" s="11">
        <f>(((0.5*(B3/E3)*H3+2*G3*(F3/C3)))^2)/(0.5*(B3/E3)*H3+4*G3*(F3/C3))</f>
        <v>0.51392649366173293</v>
      </c>
      <c r="J3" s="11">
        <f>(G3*(TAN(RADIANS(D3))/TAN(RADIANS(A3))))/I3</f>
        <v>0</v>
      </c>
    </row>
    <row r="4" spans="1:10" ht="18.75" x14ac:dyDescent="0.25">
      <c r="A4" s="11">
        <f t="shared" ref="A4:A13" si="0">43.4111/2</f>
        <v>21.705549999999999</v>
      </c>
      <c r="B4" s="11">
        <f t="shared" ref="B4:B13" si="1">COS(RADIANS(A4))</f>
        <v>0.92909675136945979</v>
      </c>
      <c r="C4" s="11">
        <f t="shared" ref="C4:C13" si="2">TAN(RADIANS(A4))</f>
        <v>0.39806054228379356</v>
      </c>
      <c r="D4" s="11">
        <f t="shared" ref="D4:D13" si="3">50.6436/2</f>
        <v>25.3218</v>
      </c>
      <c r="E4" s="11">
        <f t="shared" ref="E4:E13" si="4">COS(RADIANS(D4))</f>
        <v>0.9039198823450737</v>
      </c>
      <c r="F4" s="11">
        <f t="shared" ref="F4:F13" si="5">TAN(RADIANS(D4))</f>
        <v>0.47316341606598444</v>
      </c>
      <c r="G4" s="11">
        <f>G3+0.1</f>
        <v>0.1</v>
      </c>
      <c r="H4" s="11">
        <f t="shared" ref="H4:H12" si="6">0.5*(1-4*G4+SQRT(8*G4+1))</f>
        <v>0.97082039324993685</v>
      </c>
      <c r="I4" s="11">
        <f t="shared" ref="I4:I13" si="7">(((0.5*(B4/E4)*H4+2*G4*(F4/C4)))^2)/(0.5*(B4/E4)*H4+4*G4*(F4/C4))</f>
        <v>0.55693288130020902</v>
      </c>
      <c r="J4" s="11">
        <f t="shared" ref="J4:J13" si="8">(G4*(TAN(RADIANS(D4))/TAN(RADIANS(A4))))/I4</f>
        <v>0.21343182055203894</v>
      </c>
    </row>
    <row r="5" spans="1:10" ht="18.75" x14ac:dyDescent="0.25">
      <c r="A5" s="11">
        <f t="shared" si="0"/>
        <v>21.705549999999999</v>
      </c>
      <c r="B5" s="11">
        <f t="shared" si="1"/>
        <v>0.92909675136945979</v>
      </c>
      <c r="C5" s="11">
        <f t="shared" si="2"/>
        <v>0.39806054228379356</v>
      </c>
      <c r="D5" s="11">
        <f t="shared" si="3"/>
        <v>25.3218</v>
      </c>
      <c r="E5" s="11">
        <f t="shared" si="4"/>
        <v>0.9039198823450737</v>
      </c>
      <c r="F5" s="11">
        <f t="shared" si="5"/>
        <v>0.47316341606598444</v>
      </c>
      <c r="G5" s="11">
        <f t="shared" ref="G5:G13" si="9">G4+0.1</f>
        <v>0.2</v>
      </c>
      <c r="H5" s="11">
        <f t="shared" si="6"/>
        <v>0.906225774829855</v>
      </c>
      <c r="I5" s="11">
        <f t="shared" si="7"/>
        <v>0.62531217347408852</v>
      </c>
      <c r="J5" s="11">
        <f t="shared" si="8"/>
        <v>0.3801851421532314</v>
      </c>
    </row>
    <row r="6" spans="1:10" ht="18.75" x14ac:dyDescent="0.25">
      <c r="A6" s="11">
        <f t="shared" si="0"/>
        <v>21.705549999999999</v>
      </c>
      <c r="B6" s="11">
        <f t="shared" si="1"/>
        <v>0.92909675136945979</v>
      </c>
      <c r="C6" s="11">
        <f t="shared" si="2"/>
        <v>0.39806054228379356</v>
      </c>
      <c r="D6" s="11">
        <f t="shared" si="3"/>
        <v>25.3218</v>
      </c>
      <c r="E6" s="11">
        <f t="shared" si="4"/>
        <v>0.9039198823450737</v>
      </c>
      <c r="F6" s="11">
        <f t="shared" si="5"/>
        <v>0.47316341606598444</v>
      </c>
      <c r="G6" s="11">
        <f t="shared" si="9"/>
        <v>0.30000000000000004</v>
      </c>
      <c r="H6" s="11">
        <f t="shared" si="6"/>
        <v>0.82195444572928866</v>
      </c>
      <c r="I6" s="11">
        <f t="shared" si="7"/>
        <v>0.69754878143000187</v>
      </c>
      <c r="J6" s="11">
        <f t="shared" si="8"/>
        <v>0.5112210154142075</v>
      </c>
    </row>
    <row r="7" spans="1:10" ht="18.75" x14ac:dyDescent="0.25">
      <c r="A7" s="11">
        <f t="shared" si="0"/>
        <v>21.705549999999999</v>
      </c>
      <c r="B7" s="11">
        <f t="shared" si="1"/>
        <v>0.92909675136945979</v>
      </c>
      <c r="C7" s="11">
        <f t="shared" si="2"/>
        <v>0.39806054228379356</v>
      </c>
      <c r="D7" s="11">
        <f t="shared" si="3"/>
        <v>25.3218</v>
      </c>
      <c r="E7" s="11">
        <f t="shared" si="4"/>
        <v>0.9039198823450737</v>
      </c>
      <c r="F7" s="11">
        <f t="shared" si="5"/>
        <v>0.47316341606598444</v>
      </c>
      <c r="G7" s="11">
        <f t="shared" si="9"/>
        <v>0.4</v>
      </c>
      <c r="H7" s="11">
        <f t="shared" si="6"/>
        <v>0.72469507659595989</v>
      </c>
      <c r="I7" s="11">
        <f t="shared" si="7"/>
        <v>0.77004641256737372</v>
      </c>
      <c r="J7" s="11">
        <f t="shared" si="8"/>
        <v>0.61745472398156864</v>
      </c>
    </row>
    <row r="8" spans="1:10" ht="18.75" x14ac:dyDescent="0.25">
      <c r="A8" s="11">
        <f t="shared" si="0"/>
        <v>21.705549999999999</v>
      </c>
      <c r="B8" s="11">
        <f t="shared" si="1"/>
        <v>0.92909675136945979</v>
      </c>
      <c r="C8" s="11">
        <f t="shared" si="2"/>
        <v>0.39806054228379356</v>
      </c>
      <c r="D8" s="11">
        <f t="shared" si="3"/>
        <v>25.3218</v>
      </c>
      <c r="E8" s="11">
        <f t="shared" si="4"/>
        <v>0.9039198823450737</v>
      </c>
      <c r="F8" s="11">
        <f t="shared" si="5"/>
        <v>0.47316341606598444</v>
      </c>
      <c r="G8" s="11">
        <f t="shared" si="9"/>
        <v>0.5</v>
      </c>
      <c r="H8" s="11">
        <f t="shared" si="6"/>
        <v>0.6180339887498949</v>
      </c>
      <c r="I8" s="11">
        <f t="shared" si="7"/>
        <v>0.84191267279946114</v>
      </c>
      <c r="J8" s="11">
        <f t="shared" si="8"/>
        <v>0.70593544094037952</v>
      </c>
    </row>
    <row r="9" spans="1:10" ht="18.75" x14ac:dyDescent="0.25">
      <c r="A9" s="11">
        <f t="shared" si="0"/>
        <v>21.705549999999999</v>
      </c>
      <c r="B9" s="11">
        <f t="shared" si="1"/>
        <v>0.92909675136945979</v>
      </c>
      <c r="C9" s="11">
        <f t="shared" si="2"/>
        <v>0.39806054228379356</v>
      </c>
      <c r="D9" s="11">
        <f t="shared" si="3"/>
        <v>25.3218</v>
      </c>
      <c r="E9" s="11">
        <f t="shared" si="4"/>
        <v>0.9039198823450737</v>
      </c>
      <c r="F9" s="11">
        <f t="shared" si="5"/>
        <v>0.47316341606598444</v>
      </c>
      <c r="G9" s="11">
        <f t="shared" si="9"/>
        <v>0.6</v>
      </c>
      <c r="H9" s="11">
        <f t="shared" si="6"/>
        <v>0.50415945787922967</v>
      </c>
      <c r="I9" s="11">
        <f t="shared" si="7"/>
        <v>0.91292211661841483</v>
      </c>
      <c r="J9" s="11">
        <f t="shared" si="8"/>
        <v>0.78123114743783062</v>
      </c>
    </row>
    <row r="10" spans="1:10" ht="18.75" x14ac:dyDescent="0.25">
      <c r="A10" s="11">
        <f t="shared" si="0"/>
        <v>21.705549999999999</v>
      </c>
      <c r="B10" s="11">
        <f t="shared" si="1"/>
        <v>0.92909675136945979</v>
      </c>
      <c r="C10" s="11">
        <f t="shared" si="2"/>
        <v>0.39806054228379356</v>
      </c>
      <c r="D10" s="11">
        <f t="shared" si="3"/>
        <v>25.3218</v>
      </c>
      <c r="E10" s="11">
        <f t="shared" si="4"/>
        <v>0.9039198823450737</v>
      </c>
      <c r="F10" s="11">
        <f t="shared" si="5"/>
        <v>0.47316341606598444</v>
      </c>
      <c r="G10" s="11">
        <f t="shared" si="9"/>
        <v>0.7</v>
      </c>
      <c r="H10" s="11">
        <f t="shared" si="6"/>
        <v>0.38452325786651298</v>
      </c>
      <c r="I10" s="11">
        <f t="shared" si="7"/>
        <v>0.98305187374415326</v>
      </c>
      <c r="J10" s="11">
        <f t="shared" si="8"/>
        <v>0.84641554905873262</v>
      </c>
    </row>
    <row r="11" spans="1:10" ht="18.75" x14ac:dyDescent="0.25">
      <c r="A11" s="11">
        <f t="shared" si="0"/>
        <v>21.705549999999999</v>
      </c>
      <c r="B11" s="11">
        <f t="shared" si="1"/>
        <v>0.92909675136945979</v>
      </c>
      <c r="C11" s="11">
        <f t="shared" si="2"/>
        <v>0.39806054228379356</v>
      </c>
      <c r="D11" s="11">
        <f t="shared" si="3"/>
        <v>25.3218</v>
      </c>
      <c r="E11" s="11">
        <f t="shared" si="4"/>
        <v>0.9039198823450737</v>
      </c>
      <c r="F11" s="11">
        <f t="shared" si="5"/>
        <v>0.47316341606598444</v>
      </c>
      <c r="G11" s="11">
        <f t="shared" si="9"/>
        <v>0.79999999999999993</v>
      </c>
      <c r="H11" s="11">
        <f t="shared" si="6"/>
        <v>0.26014705087354439</v>
      </c>
      <c r="I11" s="11">
        <f t="shared" si="7"/>
        <v>1.0523448562185969</v>
      </c>
      <c r="J11" s="11">
        <f t="shared" si="8"/>
        <v>0.9036368492991782</v>
      </c>
    </row>
    <row r="12" spans="1:10" ht="18.75" x14ac:dyDescent="0.25">
      <c r="A12" s="11">
        <f t="shared" si="0"/>
        <v>21.705549999999999</v>
      </c>
      <c r="B12" s="11">
        <f t="shared" si="1"/>
        <v>0.92909675136945979</v>
      </c>
      <c r="C12" s="11">
        <f t="shared" si="2"/>
        <v>0.39806054228379356</v>
      </c>
      <c r="D12" s="11">
        <f t="shared" si="3"/>
        <v>25.3218</v>
      </c>
      <c r="E12" s="11">
        <f t="shared" si="4"/>
        <v>0.9039198823450737</v>
      </c>
      <c r="F12" s="11">
        <f t="shared" si="5"/>
        <v>0.47316341606598444</v>
      </c>
      <c r="G12" s="11">
        <f t="shared" si="9"/>
        <v>0.89999999999999991</v>
      </c>
      <c r="H12" s="11">
        <f t="shared" si="6"/>
        <v>0.13178210632763543</v>
      </c>
      <c r="I12" s="11">
        <f t="shared" si="7"/>
        <v>1.1208633234316716</v>
      </c>
      <c r="J12" s="11">
        <f t="shared" si="8"/>
        <v>0.95444713611951959</v>
      </c>
    </row>
    <row r="13" spans="1:10" ht="18.75" x14ac:dyDescent="0.25">
      <c r="A13" s="11">
        <f t="shared" si="0"/>
        <v>21.705549999999999</v>
      </c>
      <c r="B13" s="11">
        <f t="shared" si="1"/>
        <v>0.92909675136945979</v>
      </c>
      <c r="C13" s="11">
        <f t="shared" si="2"/>
        <v>0.39806054228379356</v>
      </c>
      <c r="D13" s="11">
        <f t="shared" si="3"/>
        <v>25.3218</v>
      </c>
      <c r="E13" s="11">
        <f t="shared" si="4"/>
        <v>0.9039198823450737</v>
      </c>
      <c r="F13" s="11">
        <f t="shared" si="5"/>
        <v>0.47316341606598444</v>
      </c>
      <c r="G13" s="11">
        <f t="shared" si="9"/>
        <v>0.99999999999999989</v>
      </c>
      <c r="H13" s="11">
        <f>0.5*(1-4*G13+SQRT(8*G13+1))</f>
        <v>2.2204460492503131E-16</v>
      </c>
      <c r="I13" s="11">
        <f t="shared" si="7"/>
        <v>1.1886719878119618</v>
      </c>
      <c r="J13" s="11">
        <f t="shared" si="8"/>
        <v>1</v>
      </c>
    </row>
    <row r="15" spans="1:10" ht="18.75" x14ac:dyDescent="0.3">
      <c r="A15" s="23">
        <v>1.2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18.75" x14ac:dyDescent="0.25">
      <c r="A16" s="11" t="s">
        <v>26</v>
      </c>
      <c r="B16" s="11" t="s">
        <v>27</v>
      </c>
      <c r="C16" s="11" t="s">
        <v>28</v>
      </c>
      <c r="D16" s="11" t="s">
        <v>29</v>
      </c>
      <c r="E16" s="11" t="s">
        <v>30</v>
      </c>
      <c r="F16" s="11" t="s">
        <v>31</v>
      </c>
      <c r="G16" s="11" t="s">
        <v>32</v>
      </c>
      <c r="H16" s="11" t="s">
        <v>33</v>
      </c>
      <c r="I16" s="11" t="s">
        <v>7</v>
      </c>
      <c r="J16" s="16" t="s">
        <v>34</v>
      </c>
    </row>
    <row r="17" spans="1:10" ht="18.75" x14ac:dyDescent="0.25">
      <c r="A17" s="11">
        <f>44.0916/2</f>
        <v>22.0458</v>
      </c>
      <c r="B17" s="11">
        <f>COS(RADIANS(A17))</f>
        <v>0.92688411254856751</v>
      </c>
      <c r="C17" s="11">
        <f>TAN(RADIANS(A17))</f>
        <v>0.40495637264472911</v>
      </c>
      <c r="D17" s="11">
        <f>51.4213/2</f>
        <v>25.710650000000001</v>
      </c>
      <c r="E17" s="11">
        <f>COS(RADIANS(D17))</f>
        <v>0.9009963982614092</v>
      </c>
      <c r="F17" s="11">
        <f>TAN(RADIANS(D17))</f>
        <v>0.48149644985823198</v>
      </c>
      <c r="G17" s="11">
        <v>0</v>
      </c>
      <c r="H17" s="11">
        <f>0.5*(1-4*G17+SQRT(8*G17+1))</f>
        <v>1</v>
      </c>
      <c r="I17" s="11">
        <f>(((0.5*(B17/E17)*H17+2*G17*(F17/C17)))^2)/(0.5*(B17/E17)*H17+4*G17*(F17/C17))</f>
        <v>0.51436615858682233</v>
      </c>
      <c r="J17" s="11">
        <f>(G17*(TAN(RADIANS(D17))/TAN(RADIANS(A17))))/I17</f>
        <v>0</v>
      </c>
    </row>
    <row r="18" spans="1:10" ht="18.75" x14ac:dyDescent="0.25">
      <c r="A18" s="11">
        <f t="shared" ref="A18:A27" si="10">44.0916/2</f>
        <v>22.0458</v>
      </c>
      <c r="B18" s="11">
        <f t="shared" ref="B18:B27" si="11">COS(RADIANS(A18))</f>
        <v>0.92688411254856751</v>
      </c>
      <c r="C18" s="11">
        <f t="shared" ref="C18:C27" si="12">TAN(RADIANS(A18))</f>
        <v>0.40495637264472911</v>
      </c>
      <c r="D18" s="11">
        <f t="shared" ref="D18:D27" si="13">51.4213/2</f>
        <v>25.710650000000001</v>
      </c>
      <c r="E18" s="11">
        <f t="shared" ref="E18:E27" si="14">COS(RADIANS(D18))</f>
        <v>0.9009963982614092</v>
      </c>
      <c r="F18" s="11">
        <f t="shared" ref="F18:F27" si="15">TAN(RADIANS(D18))</f>
        <v>0.48149644985823198</v>
      </c>
      <c r="G18" s="11">
        <f>G17+0.1</f>
        <v>0.1</v>
      </c>
      <c r="H18" s="11">
        <f t="shared" ref="H18:H26" si="16">0.5*(1-4*G18+SQRT(8*G18+1))</f>
        <v>0.97082039324993685</v>
      </c>
      <c r="I18" s="11">
        <f t="shared" ref="I18:I27" si="17">(((0.5*(B18/E18)*H18+2*G18*(F18/C18)))^2)/(0.5*(B18/E18)*H18+4*G18*(F18/C18))</f>
        <v>0.55735912059597048</v>
      </c>
      <c r="J18" s="11">
        <f t="shared" ref="J18:J27" si="18">(G18*(TAN(RADIANS(D18))/TAN(RADIANS(A18))))/I18</f>
        <v>0.21332892229637929</v>
      </c>
    </row>
    <row r="19" spans="1:10" ht="18.75" x14ac:dyDescent="0.25">
      <c r="A19" s="11">
        <f t="shared" si="10"/>
        <v>22.0458</v>
      </c>
      <c r="B19" s="11">
        <f t="shared" si="11"/>
        <v>0.92688411254856751</v>
      </c>
      <c r="C19" s="11">
        <f t="shared" si="12"/>
        <v>0.40495637264472911</v>
      </c>
      <c r="D19" s="11">
        <f t="shared" si="13"/>
        <v>25.710650000000001</v>
      </c>
      <c r="E19" s="11">
        <f t="shared" si="14"/>
        <v>0.9009963982614092</v>
      </c>
      <c r="F19" s="11">
        <f t="shared" si="15"/>
        <v>0.48149644985823198</v>
      </c>
      <c r="G19" s="11">
        <f t="shared" ref="G19:G27" si="19">G18+0.1</f>
        <v>0.2</v>
      </c>
      <c r="H19" s="11">
        <f t="shared" si="16"/>
        <v>0.906225774829855</v>
      </c>
      <c r="I19" s="11">
        <f t="shared" si="17"/>
        <v>0.62572570959752671</v>
      </c>
      <c r="J19" s="11">
        <f t="shared" si="18"/>
        <v>0.38004134624826053</v>
      </c>
    </row>
    <row r="20" spans="1:10" ht="18.75" x14ac:dyDescent="0.25">
      <c r="A20" s="11">
        <f t="shared" si="10"/>
        <v>22.0458</v>
      </c>
      <c r="B20" s="11">
        <f t="shared" si="11"/>
        <v>0.92688411254856751</v>
      </c>
      <c r="C20" s="11">
        <f t="shared" si="12"/>
        <v>0.40495637264472911</v>
      </c>
      <c r="D20" s="11">
        <f t="shared" si="13"/>
        <v>25.710650000000001</v>
      </c>
      <c r="E20" s="11">
        <f t="shared" si="14"/>
        <v>0.9009963982614092</v>
      </c>
      <c r="F20" s="11">
        <f t="shared" si="15"/>
        <v>0.48149644985823198</v>
      </c>
      <c r="G20" s="11">
        <f t="shared" si="19"/>
        <v>0.30000000000000004</v>
      </c>
      <c r="H20" s="11">
        <f t="shared" si="16"/>
        <v>0.82195444572928866</v>
      </c>
      <c r="I20" s="11">
        <f t="shared" si="17"/>
        <v>0.69795199269645491</v>
      </c>
      <c r="J20" s="11">
        <f t="shared" si="18"/>
        <v>0.51107019582867086</v>
      </c>
    </row>
    <row r="21" spans="1:10" ht="18.75" x14ac:dyDescent="0.25">
      <c r="A21" s="11">
        <f t="shared" si="10"/>
        <v>22.0458</v>
      </c>
      <c r="B21" s="11">
        <f t="shared" si="11"/>
        <v>0.92688411254856751</v>
      </c>
      <c r="C21" s="11">
        <f t="shared" si="12"/>
        <v>0.40495637264472911</v>
      </c>
      <c r="D21" s="11">
        <f t="shared" si="13"/>
        <v>25.710650000000001</v>
      </c>
      <c r="E21" s="11">
        <f t="shared" si="14"/>
        <v>0.9009963982614092</v>
      </c>
      <c r="F21" s="11">
        <f t="shared" si="15"/>
        <v>0.48149644985823198</v>
      </c>
      <c r="G21" s="11">
        <f t="shared" si="19"/>
        <v>0.4</v>
      </c>
      <c r="H21" s="11">
        <f t="shared" si="16"/>
        <v>0.72469507659595989</v>
      </c>
      <c r="I21" s="11">
        <f t="shared" si="17"/>
        <v>0.77044021634882676</v>
      </c>
      <c r="J21" s="11">
        <f t="shared" si="18"/>
        <v>0.61731367602940501</v>
      </c>
    </row>
    <row r="22" spans="1:10" ht="18.75" x14ac:dyDescent="0.25">
      <c r="A22" s="11">
        <f t="shared" si="10"/>
        <v>22.0458</v>
      </c>
      <c r="B22" s="11">
        <f t="shared" si="11"/>
        <v>0.92688411254856751</v>
      </c>
      <c r="C22" s="11">
        <f t="shared" si="12"/>
        <v>0.40495637264472911</v>
      </c>
      <c r="D22" s="11">
        <f t="shared" si="13"/>
        <v>25.710650000000001</v>
      </c>
      <c r="E22" s="11">
        <f t="shared" si="14"/>
        <v>0.9009963982614092</v>
      </c>
      <c r="F22" s="11">
        <f t="shared" si="15"/>
        <v>0.48149644985823198</v>
      </c>
      <c r="G22" s="11">
        <f t="shared" si="19"/>
        <v>0.5</v>
      </c>
      <c r="H22" s="11">
        <f t="shared" si="16"/>
        <v>0.6180339887498949</v>
      </c>
      <c r="I22" s="11">
        <f t="shared" si="17"/>
        <v>0.84229731376639105</v>
      </c>
      <c r="J22" s="11">
        <f t="shared" si="18"/>
        <v>0.70581265418693295</v>
      </c>
    </row>
    <row r="23" spans="1:10" ht="18.75" x14ac:dyDescent="0.25">
      <c r="A23" s="11">
        <f t="shared" si="10"/>
        <v>22.0458</v>
      </c>
      <c r="B23" s="11">
        <f t="shared" si="11"/>
        <v>0.92688411254856751</v>
      </c>
      <c r="C23" s="11">
        <f t="shared" si="12"/>
        <v>0.40495637264472911</v>
      </c>
      <c r="D23" s="11">
        <f t="shared" si="13"/>
        <v>25.710650000000001</v>
      </c>
      <c r="E23" s="11">
        <f t="shared" si="14"/>
        <v>0.9009963982614092</v>
      </c>
      <c r="F23" s="11">
        <f t="shared" si="15"/>
        <v>0.48149644985823198</v>
      </c>
      <c r="G23" s="11">
        <f t="shared" si="19"/>
        <v>0.6</v>
      </c>
      <c r="H23" s="11">
        <f t="shared" si="16"/>
        <v>0.50415945787922967</v>
      </c>
      <c r="I23" s="11">
        <f t="shared" si="17"/>
        <v>0.91329753974134376</v>
      </c>
      <c r="J23" s="11">
        <f t="shared" si="18"/>
        <v>0.78113089341598441</v>
      </c>
    </row>
    <row r="24" spans="1:10" ht="18.75" x14ac:dyDescent="0.25">
      <c r="A24" s="11">
        <f t="shared" si="10"/>
        <v>22.0458</v>
      </c>
      <c r="B24" s="11">
        <f t="shared" si="11"/>
        <v>0.92688411254856751</v>
      </c>
      <c r="C24" s="11">
        <f t="shared" si="12"/>
        <v>0.40495637264472911</v>
      </c>
      <c r="D24" s="11">
        <f t="shared" si="13"/>
        <v>25.710650000000001</v>
      </c>
      <c r="E24" s="11">
        <f t="shared" si="14"/>
        <v>0.9009963982614092</v>
      </c>
      <c r="F24" s="11">
        <f t="shared" si="15"/>
        <v>0.48149644985823198</v>
      </c>
      <c r="G24" s="11">
        <f t="shared" si="19"/>
        <v>0.7</v>
      </c>
      <c r="H24" s="11">
        <f t="shared" si="16"/>
        <v>0.38452325786651298</v>
      </c>
      <c r="I24" s="11">
        <f t="shared" si="17"/>
        <v>0.98341788845948264</v>
      </c>
      <c r="J24" s="11">
        <f t="shared" si="18"/>
        <v>0.8463398454195028</v>
      </c>
    </row>
    <row r="25" spans="1:10" ht="18.75" x14ac:dyDescent="0.25">
      <c r="A25" s="11">
        <f t="shared" si="10"/>
        <v>22.0458</v>
      </c>
      <c r="B25" s="11">
        <f t="shared" si="11"/>
        <v>0.92688411254856751</v>
      </c>
      <c r="C25" s="11">
        <f t="shared" si="12"/>
        <v>0.40495637264472911</v>
      </c>
      <c r="D25" s="11">
        <f t="shared" si="13"/>
        <v>25.710650000000001</v>
      </c>
      <c r="E25" s="11">
        <f t="shared" si="14"/>
        <v>0.9009963982614092</v>
      </c>
      <c r="F25" s="11">
        <f t="shared" si="15"/>
        <v>0.48149644985823198</v>
      </c>
      <c r="G25" s="11">
        <f t="shared" si="19"/>
        <v>0.79999999999999993</v>
      </c>
      <c r="H25" s="11">
        <f t="shared" si="16"/>
        <v>0.26014705087354439</v>
      </c>
      <c r="I25" s="11">
        <f t="shared" si="17"/>
        <v>1.0527012124666204</v>
      </c>
      <c r="J25" s="11">
        <f t="shared" si="18"/>
        <v>0.90358646210881022</v>
      </c>
    </row>
    <row r="26" spans="1:10" ht="18.75" x14ac:dyDescent="0.25">
      <c r="A26" s="11">
        <f t="shared" si="10"/>
        <v>22.0458</v>
      </c>
      <c r="B26" s="11">
        <f t="shared" si="11"/>
        <v>0.92688411254856751</v>
      </c>
      <c r="C26" s="11">
        <f t="shared" si="12"/>
        <v>0.40495637264472911</v>
      </c>
      <c r="D26" s="11">
        <f t="shared" si="13"/>
        <v>25.710650000000001</v>
      </c>
      <c r="E26" s="11">
        <f t="shared" si="14"/>
        <v>0.9009963982614092</v>
      </c>
      <c r="F26" s="11">
        <f t="shared" si="15"/>
        <v>0.48149644985823198</v>
      </c>
      <c r="G26" s="11">
        <f t="shared" si="19"/>
        <v>0.89999999999999991</v>
      </c>
      <c r="H26" s="11">
        <f t="shared" si="16"/>
        <v>0.13178210632763543</v>
      </c>
      <c r="I26" s="11">
        <f t="shared" si="17"/>
        <v>1.1212097486106167</v>
      </c>
      <c r="J26" s="11">
        <f t="shared" si="18"/>
        <v>0.95442211957684331</v>
      </c>
    </row>
    <row r="27" spans="1:10" ht="18.75" x14ac:dyDescent="0.25">
      <c r="A27" s="11">
        <f t="shared" si="10"/>
        <v>22.0458</v>
      </c>
      <c r="B27" s="11">
        <f t="shared" si="11"/>
        <v>0.92688411254856751</v>
      </c>
      <c r="C27" s="11">
        <f t="shared" si="12"/>
        <v>0.40495637264472911</v>
      </c>
      <c r="D27" s="11">
        <f t="shared" si="13"/>
        <v>25.710650000000001</v>
      </c>
      <c r="E27" s="11">
        <f t="shared" si="14"/>
        <v>0.9009963982614092</v>
      </c>
      <c r="F27" s="11">
        <f t="shared" si="15"/>
        <v>0.48149644985823198</v>
      </c>
      <c r="G27" s="11">
        <f t="shared" si="19"/>
        <v>0.99999999999999989</v>
      </c>
      <c r="H27" s="11">
        <f>0.5*(1-4*G27+SQRT(8*G27+1))</f>
        <v>2.2204460492503131E-16</v>
      </c>
      <c r="I27" s="11">
        <f t="shared" si="17"/>
        <v>1.1890082052879605</v>
      </c>
      <c r="J27" s="11">
        <f t="shared" si="18"/>
        <v>1</v>
      </c>
    </row>
    <row r="30" spans="1:10" ht="18.75" x14ac:dyDescent="0.3">
      <c r="A30" s="23">
        <v>2.1</v>
      </c>
      <c r="B30" s="23"/>
      <c r="C30" s="23"/>
      <c r="D30" s="23"/>
      <c r="E30" s="23"/>
      <c r="F30" s="23"/>
      <c r="G30" s="23"/>
      <c r="H30" s="23"/>
      <c r="I30" s="23"/>
      <c r="J30" s="23"/>
    </row>
    <row r="31" spans="1:10" ht="18.75" x14ac:dyDescent="0.25">
      <c r="A31" s="11" t="s">
        <v>26</v>
      </c>
      <c r="B31" s="11" t="s">
        <v>27</v>
      </c>
      <c r="C31" s="11" t="s">
        <v>28</v>
      </c>
      <c r="D31" s="11" t="s">
        <v>29</v>
      </c>
      <c r="E31" s="11" t="s">
        <v>30</v>
      </c>
      <c r="F31" s="11" t="s">
        <v>31</v>
      </c>
      <c r="G31" s="11" t="s">
        <v>32</v>
      </c>
      <c r="H31" s="11" t="s">
        <v>33</v>
      </c>
      <c r="I31" s="11" t="s">
        <v>7</v>
      </c>
      <c r="J31" s="16" t="s">
        <v>34</v>
      </c>
    </row>
    <row r="32" spans="1:10" ht="18.75" x14ac:dyDescent="0.25">
      <c r="A32" s="11">
        <f>43.4694/2</f>
        <v>21.7347</v>
      </c>
      <c r="B32" s="11">
        <f>COS(RADIANS(A32))</f>
        <v>0.92890847169951307</v>
      </c>
      <c r="C32" s="11">
        <f>TAN(RADIANS(A32))</f>
        <v>0.39865003988570352</v>
      </c>
      <c r="D32" s="11">
        <f>50.6242/2</f>
        <v>25.312100000000001</v>
      </c>
      <c r="E32" s="11">
        <f>COS(RADIANS(D32))</f>
        <v>0.90399227799905923</v>
      </c>
      <c r="F32" s="11">
        <f>TAN(RADIANS(D32))</f>
        <v>0.47295623291207001</v>
      </c>
      <c r="G32" s="11">
        <v>0</v>
      </c>
      <c r="H32" s="11">
        <f>0.5*(1-4*G32+SQRT(8*G32+1))</f>
        <v>1</v>
      </c>
      <c r="I32" s="11">
        <f>(((0.5*(B32/E32)*H32+2*G32*(F32/C32)))^2)/(0.5*(B32/E32)*H32+4*G32*(F32/C32))</f>
        <v>0.51378119830603231</v>
      </c>
      <c r="J32" s="11">
        <f>(G32*(TAN(RADIANS(D32))/TAN(RADIANS(A32))))/I32</f>
        <v>0</v>
      </c>
    </row>
    <row r="33" spans="1:10" ht="18.75" x14ac:dyDescent="0.25">
      <c r="A33" s="11">
        <f t="shared" ref="A33:A42" si="20">43.4694/2</f>
        <v>21.7347</v>
      </c>
      <c r="B33" s="11">
        <f t="shared" ref="B33:B42" si="21">COS(RADIANS(A33))</f>
        <v>0.92890847169951307</v>
      </c>
      <c r="C33" s="11">
        <f t="shared" ref="C33:C42" si="22">TAN(RADIANS(A33))</f>
        <v>0.39865003988570352</v>
      </c>
      <c r="D33" s="11">
        <f t="shared" ref="D33:D42" si="23">50.6242/2</f>
        <v>25.312100000000001</v>
      </c>
      <c r="E33" s="11">
        <f t="shared" ref="E33:E42" si="24">COS(RADIANS(D33))</f>
        <v>0.90399227799905923</v>
      </c>
      <c r="F33" s="11">
        <f t="shared" ref="F33:F42" si="25">TAN(RADIANS(D33))</f>
        <v>0.47295623291207001</v>
      </c>
      <c r="G33" s="11">
        <f>G32+0.1</f>
        <v>0.1</v>
      </c>
      <c r="H33" s="11">
        <f t="shared" ref="H33:H41" si="26">0.5*(1-4*G33+SQRT(8*G33+1))</f>
        <v>0.97082039324993685</v>
      </c>
      <c r="I33" s="11">
        <f t="shared" ref="I33:I42" si="27">(((0.5*(B33/E33)*H33+2*G33*(F33/C33)))^2)/(0.5*(B33/E33)*H33+4*G33*(F33/C33))</f>
        <v>0.5566322294119691</v>
      </c>
      <c r="J33" s="11">
        <f t="shared" ref="J33:J42" si="28">(G33*(TAN(RADIANS(D33))/TAN(RADIANS(A33))))/I33</f>
        <v>0.21313795408942482</v>
      </c>
    </row>
    <row r="34" spans="1:10" ht="18.75" x14ac:dyDescent="0.25">
      <c r="A34" s="11">
        <f t="shared" si="20"/>
        <v>21.7347</v>
      </c>
      <c r="B34" s="11">
        <f t="shared" si="21"/>
        <v>0.92890847169951307</v>
      </c>
      <c r="C34" s="11">
        <f t="shared" si="22"/>
        <v>0.39865003988570352</v>
      </c>
      <c r="D34" s="11">
        <f t="shared" si="23"/>
        <v>25.312100000000001</v>
      </c>
      <c r="E34" s="11">
        <f t="shared" si="24"/>
        <v>0.90399227799905923</v>
      </c>
      <c r="F34" s="11">
        <f t="shared" si="25"/>
        <v>0.47295623291207001</v>
      </c>
      <c r="G34" s="11">
        <f t="shared" ref="G34:G42" si="29">G33+0.1</f>
        <v>0.2</v>
      </c>
      <c r="H34" s="11">
        <f t="shared" si="26"/>
        <v>0.906225774829855</v>
      </c>
      <c r="I34" s="11">
        <f t="shared" si="27"/>
        <v>0.62478912073412751</v>
      </c>
      <c r="J34" s="11">
        <f t="shared" si="28"/>
        <v>0.37977439305505523</v>
      </c>
    </row>
    <row r="35" spans="1:10" ht="18.75" x14ac:dyDescent="0.25">
      <c r="A35" s="11">
        <f t="shared" si="20"/>
        <v>21.7347</v>
      </c>
      <c r="B35" s="11">
        <f t="shared" si="21"/>
        <v>0.92890847169951307</v>
      </c>
      <c r="C35" s="11">
        <f t="shared" si="22"/>
        <v>0.39865003988570352</v>
      </c>
      <c r="D35" s="11">
        <f t="shared" si="23"/>
        <v>25.312100000000001</v>
      </c>
      <c r="E35" s="11">
        <f t="shared" si="24"/>
        <v>0.90399227799905923</v>
      </c>
      <c r="F35" s="11">
        <f t="shared" si="25"/>
        <v>0.47295623291207001</v>
      </c>
      <c r="G35" s="11">
        <f t="shared" si="29"/>
        <v>0.30000000000000004</v>
      </c>
      <c r="H35" s="11">
        <f t="shared" si="26"/>
        <v>0.82195444572928866</v>
      </c>
      <c r="I35" s="11">
        <f t="shared" si="27"/>
        <v>0.69679960021994725</v>
      </c>
      <c r="J35" s="11">
        <f t="shared" si="28"/>
        <v>0.51079013759330594</v>
      </c>
    </row>
    <row r="36" spans="1:10" ht="18.75" x14ac:dyDescent="0.25">
      <c r="A36" s="11">
        <f t="shared" si="20"/>
        <v>21.7347</v>
      </c>
      <c r="B36" s="11">
        <f t="shared" si="21"/>
        <v>0.92890847169951307</v>
      </c>
      <c r="C36" s="11">
        <f t="shared" si="22"/>
        <v>0.39865003988570352</v>
      </c>
      <c r="D36" s="11">
        <f t="shared" si="23"/>
        <v>25.312100000000001</v>
      </c>
      <c r="E36" s="11">
        <f t="shared" si="24"/>
        <v>0.90399227799905923</v>
      </c>
      <c r="F36" s="11">
        <f t="shared" si="25"/>
        <v>0.47295623291207001</v>
      </c>
      <c r="G36" s="11">
        <f t="shared" si="29"/>
        <v>0.4</v>
      </c>
      <c r="H36" s="11">
        <f t="shared" si="26"/>
        <v>0.72469507659595989</v>
      </c>
      <c r="I36" s="11">
        <f t="shared" si="27"/>
        <v>0.76907300719730121</v>
      </c>
      <c r="J36" s="11">
        <f t="shared" si="28"/>
        <v>0.61705171523028735</v>
      </c>
    </row>
    <row r="37" spans="1:10" ht="18.75" x14ac:dyDescent="0.25">
      <c r="A37" s="11">
        <f t="shared" si="20"/>
        <v>21.7347</v>
      </c>
      <c r="B37" s="11">
        <f t="shared" si="21"/>
        <v>0.92890847169951307</v>
      </c>
      <c r="C37" s="11">
        <f t="shared" si="22"/>
        <v>0.39865003988570352</v>
      </c>
      <c r="D37" s="11">
        <f t="shared" si="23"/>
        <v>25.312100000000001</v>
      </c>
      <c r="E37" s="11">
        <f t="shared" si="24"/>
        <v>0.90399227799905923</v>
      </c>
      <c r="F37" s="11">
        <f t="shared" si="25"/>
        <v>0.47295623291207001</v>
      </c>
      <c r="G37" s="11">
        <f t="shared" si="29"/>
        <v>0.5</v>
      </c>
      <c r="H37" s="11">
        <f t="shared" si="26"/>
        <v>0.6180339887498949</v>
      </c>
      <c r="I37" s="11">
        <f t="shared" si="27"/>
        <v>0.84071746065323694</v>
      </c>
      <c r="J37" s="11">
        <f t="shared" si="28"/>
        <v>0.70558457573201627</v>
      </c>
    </row>
    <row r="38" spans="1:10" ht="18.75" x14ac:dyDescent="0.25">
      <c r="A38" s="11">
        <f t="shared" si="20"/>
        <v>21.7347</v>
      </c>
      <c r="B38" s="11">
        <f t="shared" si="21"/>
        <v>0.92890847169951307</v>
      </c>
      <c r="C38" s="11">
        <f t="shared" si="22"/>
        <v>0.39865003988570352</v>
      </c>
      <c r="D38" s="11">
        <f t="shared" si="23"/>
        <v>25.312100000000001</v>
      </c>
      <c r="E38" s="11">
        <f t="shared" si="24"/>
        <v>0.90399227799905923</v>
      </c>
      <c r="F38" s="11">
        <f t="shared" si="25"/>
        <v>0.47295623291207001</v>
      </c>
      <c r="G38" s="11">
        <f t="shared" si="29"/>
        <v>0.6</v>
      </c>
      <c r="H38" s="11">
        <f t="shared" si="26"/>
        <v>0.50415945787922967</v>
      </c>
      <c r="I38" s="11">
        <f t="shared" si="27"/>
        <v>0.91150727466692094</v>
      </c>
      <c r="J38" s="11">
        <f t="shared" si="28"/>
        <v>0.78094464753748782</v>
      </c>
    </row>
    <row r="39" spans="1:10" ht="18.75" x14ac:dyDescent="0.25">
      <c r="A39" s="11">
        <f t="shared" si="20"/>
        <v>21.7347</v>
      </c>
      <c r="B39" s="11">
        <f t="shared" si="21"/>
        <v>0.92890847169951307</v>
      </c>
      <c r="C39" s="11">
        <f t="shared" si="22"/>
        <v>0.39865003988570352</v>
      </c>
      <c r="D39" s="11">
        <f t="shared" si="23"/>
        <v>25.312100000000001</v>
      </c>
      <c r="E39" s="11">
        <f t="shared" si="24"/>
        <v>0.90399227799905923</v>
      </c>
      <c r="F39" s="11">
        <f t="shared" si="25"/>
        <v>0.47295623291207001</v>
      </c>
      <c r="G39" s="11">
        <f t="shared" si="29"/>
        <v>0.7</v>
      </c>
      <c r="H39" s="11">
        <f t="shared" si="26"/>
        <v>0.38452325786651298</v>
      </c>
      <c r="I39" s="11">
        <f t="shared" si="27"/>
        <v>0.98141925476971692</v>
      </c>
      <c r="J39" s="11">
        <f t="shared" si="28"/>
        <v>0.84619919352874584</v>
      </c>
    </row>
    <row r="40" spans="1:10" ht="18.75" x14ac:dyDescent="0.25">
      <c r="A40" s="11">
        <f t="shared" si="20"/>
        <v>21.7347</v>
      </c>
      <c r="B40" s="11">
        <f t="shared" si="21"/>
        <v>0.92890847169951307</v>
      </c>
      <c r="C40" s="11">
        <f t="shared" si="22"/>
        <v>0.39865003988570352</v>
      </c>
      <c r="D40" s="11">
        <f t="shared" si="23"/>
        <v>25.312100000000001</v>
      </c>
      <c r="E40" s="11">
        <f t="shared" si="24"/>
        <v>0.90399227799905923</v>
      </c>
      <c r="F40" s="11">
        <f t="shared" si="25"/>
        <v>0.47295623291207001</v>
      </c>
      <c r="G40" s="11">
        <f t="shared" si="29"/>
        <v>0.79999999999999993</v>
      </c>
      <c r="H40" s="11">
        <f t="shared" si="26"/>
        <v>0.26014705087354439</v>
      </c>
      <c r="I40" s="11">
        <f t="shared" si="27"/>
        <v>1.0504960264334775</v>
      </c>
      <c r="J40" s="11">
        <f t="shared" si="28"/>
        <v>0.90349283821581605</v>
      </c>
    </row>
    <row r="41" spans="1:10" ht="18.75" x14ac:dyDescent="0.25">
      <c r="A41" s="11">
        <f t="shared" si="20"/>
        <v>21.7347</v>
      </c>
      <c r="B41" s="11">
        <f t="shared" si="21"/>
        <v>0.92890847169951307</v>
      </c>
      <c r="C41" s="11">
        <f t="shared" si="22"/>
        <v>0.39865003988570352</v>
      </c>
      <c r="D41" s="11">
        <f t="shared" si="23"/>
        <v>25.312100000000001</v>
      </c>
      <c r="E41" s="11">
        <f t="shared" si="24"/>
        <v>0.90399227799905923</v>
      </c>
      <c r="F41" s="11">
        <f t="shared" si="25"/>
        <v>0.47295623291207001</v>
      </c>
      <c r="G41" s="11">
        <f t="shared" si="29"/>
        <v>0.89999999999999991</v>
      </c>
      <c r="H41" s="11">
        <f t="shared" si="26"/>
        <v>0.13178210632763543</v>
      </c>
      <c r="I41" s="11">
        <f t="shared" si="27"/>
        <v>1.1187996151539354</v>
      </c>
      <c r="J41" s="11">
        <f t="shared" si="28"/>
        <v>0.95437563309047946</v>
      </c>
    </row>
    <row r="42" spans="1:10" ht="18.75" x14ac:dyDescent="0.25">
      <c r="A42" s="11">
        <f t="shared" si="20"/>
        <v>21.7347</v>
      </c>
      <c r="B42" s="11">
        <f t="shared" si="21"/>
        <v>0.92890847169951307</v>
      </c>
      <c r="C42" s="11">
        <f t="shared" si="22"/>
        <v>0.39865003988570352</v>
      </c>
      <c r="D42" s="11">
        <f t="shared" si="23"/>
        <v>25.312100000000001</v>
      </c>
      <c r="E42" s="11">
        <f t="shared" si="24"/>
        <v>0.90399227799905923</v>
      </c>
      <c r="F42" s="11">
        <f t="shared" si="25"/>
        <v>0.47295623291207001</v>
      </c>
      <c r="G42" s="11">
        <f t="shared" si="29"/>
        <v>0.99999999999999989</v>
      </c>
      <c r="H42" s="11">
        <f>0.5*(1-4*G42+SQRT(8*G42+1))</f>
        <v>2.2204460492503131E-16</v>
      </c>
      <c r="I42" s="11">
        <f t="shared" si="27"/>
        <v>1.1863945455710243</v>
      </c>
      <c r="J42" s="11">
        <f t="shared" si="28"/>
        <v>1</v>
      </c>
    </row>
    <row r="44" spans="1:10" ht="18.75" x14ac:dyDescent="0.3">
      <c r="A44" s="23">
        <v>2.2000000000000002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8.75" x14ac:dyDescent="0.25">
      <c r="A45" s="11" t="s">
        <v>26</v>
      </c>
      <c r="B45" s="11" t="s">
        <v>27</v>
      </c>
      <c r="C45" s="11" t="s">
        <v>28</v>
      </c>
      <c r="D45" s="11" t="s">
        <v>29</v>
      </c>
      <c r="E45" s="11" t="s">
        <v>30</v>
      </c>
      <c r="F45" s="11" t="s">
        <v>31</v>
      </c>
      <c r="G45" s="11" t="s">
        <v>32</v>
      </c>
      <c r="H45" s="11" t="s">
        <v>33</v>
      </c>
      <c r="I45" s="11" t="s">
        <v>7</v>
      </c>
      <c r="J45" s="16" t="s">
        <v>34</v>
      </c>
    </row>
    <row r="46" spans="1:10" ht="18.75" x14ac:dyDescent="0.25">
      <c r="A46" s="11">
        <f>44.8304/2</f>
        <v>22.415199999999999</v>
      </c>
      <c r="B46" s="11">
        <f>COS(RADIANS(A46))</f>
        <v>0.92444490690148828</v>
      </c>
      <c r="C46" s="11">
        <f>TAN(RADIANS(A46))</f>
        <v>0.41248064968619935</v>
      </c>
      <c r="D46" s="11">
        <f>65.1281/2</f>
        <v>32.564050000000002</v>
      </c>
      <c r="E46" s="11">
        <f>COS(RADIANS(D46))</f>
        <v>0.84279028065496342</v>
      </c>
      <c r="F46" s="11">
        <f>TAN(RADIANS(D46))</f>
        <v>0.63864296737677095</v>
      </c>
      <c r="G46" s="11">
        <v>0</v>
      </c>
      <c r="H46" s="11">
        <f>0.5*(1-4*G46+SQRT(8*G46+1))</f>
        <v>1</v>
      </c>
      <c r="I46" s="11">
        <f>(((0.5*(B46/E46)*H46+2*G46*(F46/C46)))^2)/(0.5*(B46/E46)*H46+4*G46*(F46/C46))</f>
        <v>0.54844302795178657</v>
      </c>
      <c r="J46" s="11">
        <f>(G46*(TAN(RADIANS(D46))/TAN(RADIANS(A46))))/I46</f>
        <v>0</v>
      </c>
    </row>
    <row r="47" spans="1:10" ht="18.75" x14ac:dyDescent="0.25">
      <c r="A47" s="11">
        <f t="shared" ref="A47:A56" si="30">44.8304/2</f>
        <v>22.415199999999999</v>
      </c>
      <c r="B47" s="11">
        <f t="shared" ref="B47:B56" si="31">COS(RADIANS(A47))</f>
        <v>0.92444490690148828</v>
      </c>
      <c r="C47" s="11">
        <f t="shared" ref="C47:C56" si="32">TAN(RADIANS(A47))</f>
        <v>0.41248064968619935</v>
      </c>
      <c r="D47" s="11">
        <f t="shared" ref="D47:D56" si="33">65.1281/2</f>
        <v>32.564050000000002</v>
      </c>
      <c r="E47" s="11">
        <f t="shared" ref="E47:E56" si="34">COS(RADIANS(D47))</f>
        <v>0.84279028065496342</v>
      </c>
      <c r="F47" s="11">
        <f t="shared" ref="F47:F56" si="35">TAN(RADIANS(D47))</f>
        <v>0.63864296737677095</v>
      </c>
      <c r="G47" s="11">
        <f>G46+0.1</f>
        <v>0.1</v>
      </c>
      <c r="H47" s="11">
        <f t="shared" ref="H47:H55" si="36">0.5*(1-4*G47+SQRT(8*G47+1))</f>
        <v>0.97082039324993685</v>
      </c>
      <c r="I47" s="11">
        <f t="shared" ref="I47:I56" si="37">(((0.5*(B47/E47)*H47+2*G47*(F47/C47)))^2)/(0.5*(B47/E47)*H47+4*G47*(F47/C47))</f>
        <v>0.61569414052358773</v>
      </c>
      <c r="J47" s="11">
        <f t="shared" ref="J47:J56" si="38">(G47*(TAN(RADIANS(D47))/TAN(RADIANS(A47))))/I47</f>
        <v>0.2514719410147237</v>
      </c>
    </row>
    <row r="48" spans="1:10" ht="18.75" x14ac:dyDescent="0.25">
      <c r="A48" s="11">
        <f t="shared" si="30"/>
        <v>22.415199999999999</v>
      </c>
      <c r="B48" s="11">
        <f t="shared" si="31"/>
        <v>0.92444490690148828</v>
      </c>
      <c r="C48" s="11">
        <f t="shared" si="32"/>
        <v>0.41248064968619935</v>
      </c>
      <c r="D48" s="11">
        <f t="shared" si="33"/>
        <v>32.564050000000002</v>
      </c>
      <c r="E48" s="11">
        <f t="shared" si="34"/>
        <v>0.84279028065496342</v>
      </c>
      <c r="F48" s="11">
        <f t="shared" si="35"/>
        <v>0.63864296737677095</v>
      </c>
      <c r="G48" s="11">
        <f t="shared" ref="G48:G56" si="39">G47+0.1</f>
        <v>0.2</v>
      </c>
      <c r="H48" s="11">
        <f t="shared" si="36"/>
        <v>0.906225774829855</v>
      </c>
      <c r="I48" s="11">
        <f t="shared" si="37"/>
        <v>0.7180001108611761</v>
      </c>
      <c r="J48" s="11">
        <f t="shared" si="38"/>
        <v>0.43128071499363507</v>
      </c>
    </row>
    <row r="49" spans="1:10" ht="18.75" x14ac:dyDescent="0.25">
      <c r="A49" s="11">
        <f t="shared" si="30"/>
        <v>22.415199999999999</v>
      </c>
      <c r="B49" s="11">
        <f t="shared" si="31"/>
        <v>0.92444490690148828</v>
      </c>
      <c r="C49" s="11">
        <f t="shared" si="32"/>
        <v>0.41248064968619935</v>
      </c>
      <c r="D49" s="11">
        <f t="shared" si="33"/>
        <v>32.564050000000002</v>
      </c>
      <c r="E49" s="11">
        <f t="shared" si="34"/>
        <v>0.84279028065496342</v>
      </c>
      <c r="F49" s="11">
        <f t="shared" si="35"/>
        <v>0.63864296737677095</v>
      </c>
      <c r="G49" s="11">
        <f t="shared" si="39"/>
        <v>0.30000000000000004</v>
      </c>
      <c r="H49" s="11">
        <f t="shared" si="36"/>
        <v>0.82195444572928866</v>
      </c>
      <c r="I49" s="11">
        <f t="shared" si="37"/>
        <v>0.82459077735806829</v>
      </c>
      <c r="J49" s="11">
        <f t="shared" si="38"/>
        <v>0.56329686739253593</v>
      </c>
    </row>
    <row r="50" spans="1:10" ht="18.75" x14ac:dyDescent="0.25">
      <c r="A50" s="11">
        <f t="shared" si="30"/>
        <v>22.415199999999999</v>
      </c>
      <c r="B50" s="11">
        <f t="shared" si="31"/>
        <v>0.92444490690148828</v>
      </c>
      <c r="C50" s="11">
        <f t="shared" si="32"/>
        <v>0.41248064968619935</v>
      </c>
      <c r="D50" s="11">
        <f t="shared" si="33"/>
        <v>32.564050000000002</v>
      </c>
      <c r="E50" s="11">
        <f t="shared" si="34"/>
        <v>0.84279028065496342</v>
      </c>
      <c r="F50" s="11">
        <f t="shared" si="35"/>
        <v>0.63864296737677095</v>
      </c>
      <c r="G50" s="11">
        <f t="shared" si="39"/>
        <v>0.4</v>
      </c>
      <c r="H50" s="11">
        <f t="shared" si="36"/>
        <v>0.72469507659595989</v>
      </c>
      <c r="I50" s="11">
        <f t="shared" si="37"/>
        <v>0.93114745191841908</v>
      </c>
      <c r="J50" s="11">
        <f t="shared" si="38"/>
        <v>0.66511399572588337</v>
      </c>
    </row>
    <row r="51" spans="1:10" ht="18.75" x14ac:dyDescent="0.25">
      <c r="A51" s="11">
        <f t="shared" si="30"/>
        <v>22.415199999999999</v>
      </c>
      <c r="B51" s="11">
        <f t="shared" si="31"/>
        <v>0.92444490690148828</v>
      </c>
      <c r="C51" s="11">
        <f t="shared" si="32"/>
        <v>0.41248064968619935</v>
      </c>
      <c r="D51" s="11">
        <f t="shared" si="33"/>
        <v>32.564050000000002</v>
      </c>
      <c r="E51" s="11">
        <f t="shared" si="34"/>
        <v>0.84279028065496342</v>
      </c>
      <c r="F51" s="11">
        <f t="shared" si="35"/>
        <v>0.63864296737677095</v>
      </c>
      <c r="G51" s="11">
        <f t="shared" si="39"/>
        <v>0.5</v>
      </c>
      <c r="H51" s="11">
        <f t="shared" si="36"/>
        <v>0.6180339887498949</v>
      </c>
      <c r="I51" s="11">
        <f t="shared" si="37"/>
        <v>1.0367268065545192</v>
      </c>
      <c r="J51" s="11">
        <f t="shared" si="38"/>
        <v>0.74672420742849033</v>
      </c>
    </row>
    <row r="52" spans="1:10" ht="18.75" x14ac:dyDescent="0.25">
      <c r="A52" s="11">
        <f t="shared" si="30"/>
        <v>22.415199999999999</v>
      </c>
      <c r="B52" s="11">
        <f t="shared" si="31"/>
        <v>0.92444490690148828</v>
      </c>
      <c r="C52" s="11">
        <f t="shared" si="32"/>
        <v>0.41248064968619935</v>
      </c>
      <c r="D52" s="11">
        <f t="shared" si="33"/>
        <v>32.564050000000002</v>
      </c>
      <c r="E52" s="11">
        <f t="shared" si="34"/>
        <v>0.84279028065496342</v>
      </c>
      <c r="F52" s="11">
        <f t="shared" si="35"/>
        <v>0.63864296737677095</v>
      </c>
      <c r="G52" s="11">
        <f t="shared" si="39"/>
        <v>0.6</v>
      </c>
      <c r="H52" s="11">
        <f t="shared" si="36"/>
        <v>0.50415945787922967</v>
      </c>
      <c r="I52" s="11">
        <f t="shared" si="37"/>
        <v>1.1411432932233985</v>
      </c>
      <c r="J52" s="11">
        <f t="shared" si="38"/>
        <v>0.81407725835118938</v>
      </c>
    </row>
    <row r="53" spans="1:10" ht="18.75" x14ac:dyDescent="0.25">
      <c r="A53" s="11">
        <f t="shared" si="30"/>
        <v>22.415199999999999</v>
      </c>
      <c r="B53" s="11">
        <f t="shared" si="31"/>
        <v>0.92444490690148828</v>
      </c>
      <c r="C53" s="11">
        <f t="shared" si="32"/>
        <v>0.41248064968619935</v>
      </c>
      <c r="D53" s="11">
        <f t="shared" si="33"/>
        <v>32.564050000000002</v>
      </c>
      <c r="E53" s="11">
        <f t="shared" si="34"/>
        <v>0.84279028065496342</v>
      </c>
      <c r="F53" s="11">
        <f t="shared" si="35"/>
        <v>0.63864296737677095</v>
      </c>
      <c r="G53" s="11">
        <f t="shared" si="39"/>
        <v>0.7</v>
      </c>
      <c r="H53" s="11">
        <f t="shared" si="36"/>
        <v>0.38452325786651298</v>
      </c>
      <c r="I53" s="11">
        <f t="shared" si="37"/>
        <v>1.2444211507572298</v>
      </c>
      <c r="J53" s="11">
        <f t="shared" si="38"/>
        <v>0.87093393057688961</v>
      </c>
    </row>
    <row r="54" spans="1:10" ht="18.75" x14ac:dyDescent="0.25">
      <c r="A54" s="11">
        <f t="shared" si="30"/>
        <v>22.415199999999999</v>
      </c>
      <c r="B54" s="11">
        <f t="shared" si="31"/>
        <v>0.92444490690148828</v>
      </c>
      <c r="C54" s="11">
        <f t="shared" si="32"/>
        <v>0.41248064968619935</v>
      </c>
      <c r="D54" s="11">
        <f t="shared" si="33"/>
        <v>32.564050000000002</v>
      </c>
      <c r="E54" s="11">
        <f t="shared" si="34"/>
        <v>0.84279028065496342</v>
      </c>
      <c r="F54" s="11">
        <f t="shared" si="35"/>
        <v>0.63864296737677095</v>
      </c>
      <c r="G54" s="11">
        <f t="shared" si="39"/>
        <v>0.79999999999999993</v>
      </c>
      <c r="H54" s="11">
        <f t="shared" si="36"/>
        <v>0.26014705087354439</v>
      </c>
      <c r="I54" s="11">
        <f t="shared" si="37"/>
        <v>1.3466436867725902</v>
      </c>
      <c r="J54" s="11">
        <f t="shared" si="38"/>
        <v>0.9197966892633862</v>
      </c>
    </row>
    <row r="55" spans="1:10" ht="18.75" x14ac:dyDescent="0.25">
      <c r="A55" s="11">
        <f t="shared" si="30"/>
        <v>22.415199999999999</v>
      </c>
      <c r="B55" s="11">
        <f t="shared" si="31"/>
        <v>0.92444490690148828</v>
      </c>
      <c r="C55" s="11">
        <f t="shared" si="32"/>
        <v>0.41248064968619935</v>
      </c>
      <c r="D55" s="11">
        <f t="shared" si="33"/>
        <v>32.564050000000002</v>
      </c>
      <c r="E55" s="11">
        <f t="shared" si="34"/>
        <v>0.84279028065496342</v>
      </c>
      <c r="F55" s="11">
        <f t="shared" si="35"/>
        <v>0.63864296737677095</v>
      </c>
      <c r="G55" s="11">
        <f t="shared" si="39"/>
        <v>0.89999999999999991</v>
      </c>
      <c r="H55" s="11">
        <f t="shared" si="36"/>
        <v>0.13178210632763543</v>
      </c>
      <c r="I55" s="11">
        <f t="shared" si="37"/>
        <v>1.4479057320103685</v>
      </c>
      <c r="J55" s="11">
        <f t="shared" si="38"/>
        <v>0.96240257531472262</v>
      </c>
    </row>
    <row r="56" spans="1:10" ht="18.75" x14ac:dyDescent="0.25">
      <c r="A56" s="11">
        <f t="shared" si="30"/>
        <v>22.415199999999999</v>
      </c>
      <c r="B56" s="11">
        <f t="shared" si="31"/>
        <v>0.92444490690148828</v>
      </c>
      <c r="C56" s="11">
        <f t="shared" si="32"/>
        <v>0.41248064968619935</v>
      </c>
      <c r="D56" s="11">
        <f t="shared" si="33"/>
        <v>32.564050000000002</v>
      </c>
      <c r="E56" s="11">
        <f t="shared" si="34"/>
        <v>0.84279028065496342</v>
      </c>
      <c r="F56" s="11">
        <f t="shared" si="35"/>
        <v>0.63864296737677095</v>
      </c>
      <c r="G56" s="11">
        <f t="shared" si="39"/>
        <v>0.99999999999999989</v>
      </c>
      <c r="H56" s="11">
        <f>0.5*(1-4*G56+SQRT(8*G56+1))</f>
        <v>2.2204460492503131E-16</v>
      </c>
      <c r="I56" s="11">
        <f t="shared" si="37"/>
        <v>1.548298005888586</v>
      </c>
      <c r="J56" s="11">
        <f t="shared" si="38"/>
        <v>1</v>
      </c>
    </row>
    <row r="58" spans="1:10" ht="18.75" x14ac:dyDescent="0.3">
      <c r="A58" s="23">
        <v>3</v>
      </c>
      <c r="B58" s="23"/>
      <c r="C58" s="23"/>
      <c r="D58" s="23"/>
      <c r="E58" s="23"/>
      <c r="F58" s="23"/>
      <c r="G58" s="23"/>
      <c r="H58" s="23"/>
      <c r="I58" s="23"/>
      <c r="J58" s="23"/>
    </row>
    <row r="59" spans="1:10" ht="18.75" x14ac:dyDescent="0.25">
      <c r="A59" s="11" t="s">
        <v>26</v>
      </c>
      <c r="B59" s="11" t="s">
        <v>27</v>
      </c>
      <c r="C59" s="11" t="s">
        <v>28</v>
      </c>
      <c r="D59" s="11" t="s">
        <v>29</v>
      </c>
      <c r="E59" s="11" t="s">
        <v>30</v>
      </c>
      <c r="F59" s="11" t="s">
        <v>31</v>
      </c>
      <c r="G59" s="11" t="s">
        <v>32</v>
      </c>
      <c r="H59" s="11" t="s">
        <v>33</v>
      </c>
      <c r="I59" s="11" t="s">
        <v>7</v>
      </c>
      <c r="J59" s="16" t="s">
        <v>34</v>
      </c>
    </row>
    <row r="60" spans="1:10" ht="18.75" x14ac:dyDescent="0.25">
      <c r="A60" s="11">
        <f>44.8693/2</f>
        <v>22.434650000000001</v>
      </c>
      <c r="B60" s="11">
        <f>COS(RADIANS(A60))</f>
        <v>0.92431540973925386</v>
      </c>
      <c r="C60" s="11">
        <f>TAN(RADIANS(A60))</f>
        <v>0.41287792880358137</v>
      </c>
      <c r="D60" s="11">
        <f>65.167/2</f>
        <v>32.583500000000001</v>
      </c>
      <c r="E60" s="11">
        <f>COS(RADIANS(D60))</f>
        <v>0.84260751691967994</v>
      </c>
      <c r="F60" s="11">
        <f>TAN(RADIANS(D60))</f>
        <v>0.63912099403557954</v>
      </c>
      <c r="G60" s="11">
        <v>0</v>
      </c>
      <c r="H60" s="11">
        <f>0.5*(1-4*G60+SQRT(8*G60+1))</f>
        <v>1</v>
      </c>
      <c r="I60" s="11">
        <f>(((0.5*(B60/E60)*H60+2*G60*(F60/C60)))^2)/(0.5*(B60/E60)*H60+4*G60*(F60/C60))</f>
        <v>0.54848514354481037</v>
      </c>
      <c r="J60" s="11">
        <f>(G60*(TAN(RADIANS(D60))/TAN(RADIANS(A60))))/I60</f>
        <v>0</v>
      </c>
    </row>
    <row r="61" spans="1:10" ht="18.75" x14ac:dyDescent="0.25">
      <c r="A61" s="11">
        <f t="shared" ref="A61:A70" si="40">44.8693/2</f>
        <v>22.434650000000001</v>
      </c>
      <c r="B61" s="11">
        <f t="shared" ref="B61:B70" si="41">COS(RADIANS(A61))</f>
        <v>0.92431540973925386</v>
      </c>
      <c r="C61" s="11">
        <f t="shared" ref="C61:C70" si="42">TAN(RADIANS(A61))</f>
        <v>0.41287792880358137</v>
      </c>
      <c r="D61" s="11">
        <f t="shared" ref="D61:D70" si="43">65.167/2</f>
        <v>32.583500000000001</v>
      </c>
      <c r="E61" s="11">
        <f t="shared" ref="E61:E70" si="44">COS(RADIANS(D61))</f>
        <v>0.84260751691967994</v>
      </c>
      <c r="F61" s="11">
        <f t="shared" ref="F61:F70" si="45">TAN(RADIANS(D61))</f>
        <v>0.63912099403557954</v>
      </c>
      <c r="G61" s="11">
        <f>G60+0.1</f>
        <v>0.1</v>
      </c>
      <c r="H61" s="11">
        <f t="shared" ref="H61:H69" si="46">0.5*(1-4*G61+SQRT(8*G61+1))</f>
        <v>0.97082039324993685</v>
      </c>
      <c r="I61" s="11">
        <f t="shared" ref="I61:I70" si="47">(((0.5*(B61/E61)*H61+2*G61*(F61/C61)))^2)/(0.5*(B61/E61)*H61+4*G61*(F61/C61))</f>
        <v>0.61570596746062412</v>
      </c>
      <c r="J61" s="11">
        <f t="shared" ref="J61:J70" si="48">(G61*(TAN(RADIANS(D61))/TAN(RADIANS(A61))))/I61</f>
        <v>0.251413187008035</v>
      </c>
    </row>
    <row r="62" spans="1:10" ht="18.75" x14ac:dyDescent="0.25">
      <c r="A62" s="11">
        <f t="shared" si="40"/>
        <v>22.434650000000001</v>
      </c>
      <c r="B62" s="11">
        <f t="shared" si="41"/>
        <v>0.92431540973925386</v>
      </c>
      <c r="C62" s="11">
        <f t="shared" si="42"/>
        <v>0.41287792880358137</v>
      </c>
      <c r="D62" s="11">
        <f t="shared" si="43"/>
        <v>32.583500000000001</v>
      </c>
      <c r="E62" s="11">
        <f t="shared" si="44"/>
        <v>0.84260751691967994</v>
      </c>
      <c r="F62" s="11">
        <f t="shared" si="45"/>
        <v>0.63912099403557954</v>
      </c>
      <c r="G62" s="11">
        <f t="shared" ref="G62:G70" si="49">G61+0.1</f>
        <v>0.2</v>
      </c>
      <c r="H62" s="11">
        <f t="shared" si="46"/>
        <v>0.906225774829855</v>
      </c>
      <c r="I62" s="11">
        <f t="shared" si="47"/>
        <v>0.71797246206058674</v>
      </c>
      <c r="J62" s="11">
        <f t="shared" si="48"/>
        <v>0.43120483784259228</v>
      </c>
    </row>
    <row r="63" spans="1:10" ht="18.75" x14ac:dyDescent="0.25">
      <c r="A63" s="11">
        <f t="shared" si="40"/>
        <v>22.434650000000001</v>
      </c>
      <c r="B63" s="11">
        <f t="shared" si="41"/>
        <v>0.92431540973925386</v>
      </c>
      <c r="C63" s="11">
        <f t="shared" si="42"/>
        <v>0.41287792880358137</v>
      </c>
      <c r="D63" s="11">
        <f t="shared" si="43"/>
        <v>32.583500000000001</v>
      </c>
      <c r="E63" s="11">
        <f t="shared" si="44"/>
        <v>0.84260751691967994</v>
      </c>
      <c r="F63" s="11">
        <f t="shared" si="45"/>
        <v>0.63912099403557954</v>
      </c>
      <c r="G63" s="11">
        <f t="shared" si="49"/>
        <v>0.30000000000000004</v>
      </c>
      <c r="H63" s="11">
        <f t="shared" si="46"/>
        <v>0.82195444572928866</v>
      </c>
      <c r="I63" s="11">
        <f t="shared" si="47"/>
        <v>0.82452398519669112</v>
      </c>
      <c r="J63" s="11">
        <f t="shared" si="48"/>
        <v>0.5632216975551565</v>
      </c>
    </row>
    <row r="64" spans="1:10" ht="18.75" x14ac:dyDescent="0.25">
      <c r="A64" s="11">
        <f t="shared" si="40"/>
        <v>22.434650000000001</v>
      </c>
      <c r="B64" s="11">
        <f t="shared" si="41"/>
        <v>0.92431540973925386</v>
      </c>
      <c r="C64" s="11">
        <f t="shared" si="42"/>
        <v>0.41287792880358137</v>
      </c>
      <c r="D64" s="11">
        <f t="shared" si="43"/>
        <v>32.583500000000001</v>
      </c>
      <c r="E64" s="11">
        <f t="shared" si="44"/>
        <v>0.84260751691967994</v>
      </c>
      <c r="F64" s="11">
        <f t="shared" si="45"/>
        <v>0.63912099403557954</v>
      </c>
      <c r="G64" s="11">
        <f t="shared" si="49"/>
        <v>0.4</v>
      </c>
      <c r="H64" s="11">
        <f t="shared" si="46"/>
        <v>0.72469507659595989</v>
      </c>
      <c r="I64" s="11">
        <f t="shared" si="47"/>
        <v>0.93104204191554285</v>
      </c>
      <c r="J64" s="11">
        <f t="shared" si="48"/>
        <v>0.66504665770263038</v>
      </c>
    </row>
    <row r="65" spans="1:10" ht="18.75" x14ac:dyDescent="0.25">
      <c r="A65" s="11">
        <f t="shared" si="40"/>
        <v>22.434650000000001</v>
      </c>
      <c r="B65" s="11">
        <f t="shared" si="41"/>
        <v>0.92431540973925386</v>
      </c>
      <c r="C65" s="11">
        <f t="shared" si="42"/>
        <v>0.41287792880358137</v>
      </c>
      <c r="D65" s="11">
        <f t="shared" si="43"/>
        <v>32.583500000000001</v>
      </c>
      <c r="E65" s="11">
        <f t="shared" si="44"/>
        <v>0.84260751691967994</v>
      </c>
      <c r="F65" s="11">
        <f t="shared" si="45"/>
        <v>0.63912099403557954</v>
      </c>
      <c r="G65" s="11">
        <f t="shared" si="49"/>
        <v>0.5</v>
      </c>
      <c r="H65" s="11">
        <f t="shared" si="46"/>
        <v>0.6180339887498949</v>
      </c>
      <c r="I65" s="11">
        <f t="shared" si="47"/>
        <v>1.0365831601208724</v>
      </c>
      <c r="J65" s="11">
        <f t="shared" si="48"/>
        <v>0.74666753953966758</v>
      </c>
    </row>
    <row r="66" spans="1:10" ht="18.75" x14ac:dyDescent="0.25">
      <c r="A66" s="11">
        <f t="shared" si="40"/>
        <v>22.434650000000001</v>
      </c>
      <c r="B66" s="11">
        <f t="shared" si="41"/>
        <v>0.92431540973925386</v>
      </c>
      <c r="C66" s="11">
        <f t="shared" si="42"/>
        <v>0.41287792880358137</v>
      </c>
      <c r="D66" s="11">
        <f t="shared" si="43"/>
        <v>32.583500000000001</v>
      </c>
      <c r="E66" s="11">
        <f t="shared" si="44"/>
        <v>0.84260751691967994</v>
      </c>
      <c r="F66" s="11">
        <f t="shared" si="45"/>
        <v>0.63912099403557954</v>
      </c>
      <c r="G66" s="11">
        <f t="shared" si="49"/>
        <v>0.6</v>
      </c>
      <c r="H66" s="11">
        <f t="shared" si="46"/>
        <v>0.50415945787922967</v>
      </c>
      <c r="I66" s="11">
        <f t="shared" si="47"/>
        <v>1.1409616773106941</v>
      </c>
      <c r="J66" s="11">
        <f t="shared" si="48"/>
        <v>0.81403224639764205</v>
      </c>
    </row>
    <row r="67" spans="1:10" ht="18.75" x14ac:dyDescent="0.25">
      <c r="A67" s="11">
        <f t="shared" si="40"/>
        <v>22.434650000000001</v>
      </c>
      <c r="B67" s="11">
        <f t="shared" si="41"/>
        <v>0.92431540973925386</v>
      </c>
      <c r="C67" s="11">
        <f t="shared" si="42"/>
        <v>0.41287792880358137</v>
      </c>
      <c r="D67" s="11">
        <f t="shared" si="43"/>
        <v>32.583500000000001</v>
      </c>
      <c r="E67" s="11">
        <f t="shared" si="44"/>
        <v>0.84260751691967994</v>
      </c>
      <c r="F67" s="11">
        <f t="shared" si="45"/>
        <v>0.63912099403557954</v>
      </c>
      <c r="G67" s="11">
        <f t="shared" si="49"/>
        <v>0.7</v>
      </c>
      <c r="H67" s="11">
        <f t="shared" si="46"/>
        <v>0.38452325786651298</v>
      </c>
      <c r="I67" s="11">
        <f t="shared" si="47"/>
        <v>1.2442017564458041</v>
      </c>
      <c r="J67" s="11">
        <f t="shared" si="48"/>
        <v>0.87090071297547333</v>
      </c>
    </row>
    <row r="68" spans="1:10" ht="18.75" x14ac:dyDescent="0.25">
      <c r="A68" s="11">
        <f t="shared" si="40"/>
        <v>22.434650000000001</v>
      </c>
      <c r="B68" s="11">
        <f t="shared" si="41"/>
        <v>0.92431540973925386</v>
      </c>
      <c r="C68" s="11">
        <f t="shared" si="42"/>
        <v>0.41287792880358137</v>
      </c>
      <c r="D68" s="11">
        <f t="shared" si="43"/>
        <v>32.583500000000001</v>
      </c>
      <c r="E68" s="11">
        <f t="shared" si="44"/>
        <v>0.84260751691967994</v>
      </c>
      <c r="F68" s="11">
        <f t="shared" si="45"/>
        <v>0.63912099403557954</v>
      </c>
      <c r="G68" s="11">
        <f t="shared" si="49"/>
        <v>0.79999999999999993</v>
      </c>
      <c r="H68" s="11">
        <f t="shared" si="46"/>
        <v>0.26014705087354439</v>
      </c>
      <c r="I68" s="11">
        <f t="shared" si="47"/>
        <v>1.3463866549327879</v>
      </c>
      <c r="J68" s="11">
        <f t="shared" si="48"/>
        <v>0.91977500800091339</v>
      </c>
    </row>
    <row r="69" spans="1:10" ht="18.75" x14ac:dyDescent="0.25">
      <c r="A69" s="11">
        <f t="shared" si="40"/>
        <v>22.434650000000001</v>
      </c>
      <c r="B69" s="11">
        <f t="shared" si="41"/>
        <v>0.92431540973925386</v>
      </c>
      <c r="C69" s="11">
        <f t="shared" si="42"/>
        <v>0.41287792880358137</v>
      </c>
      <c r="D69" s="11">
        <f t="shared" si="43"/>
        <v>32.583500000000001</v>
      </c>
      <c r="E69" s="11">
        <f t="shared" si="44"/>
        <v>0.84260751691967994</v>
      </c>
      <c r="F69" s="11">
        <f t="shared" si="45"/>
        <v>0.63912099403557954</v>
      </c>
      <c r="G69" s="11">
        <f t="shared" si="49"/>
        <v>0.89999999999999991</v>
      </c>
      <c r="H69" s="11">
        <f t="shared" si="46"/>
        <v>0.13178210632763543</v>
      </c>
      <c r="I69" s="11">
        <f t="shared" si="47"/>
        <v>1.4476111694012166</v>
      </c>
      <c r="J69" s="11">
        <f t="shared" si="48"/>
        <v>0.96239199123376007</v>
      </c>
    </row>
    <row r="70" spans="1:10" ht="18.75" x14ac:dyDescent="0.25">
      <c r="A70" s="11">
        <f t="shared" si="40"/>
        <v>22.434650000000001</v>
      </c>
      <c r="B70" s="11">
        <f t="shared" si="41"/>
        <v>0.92431540973925386</v>
      </c>
      <c r="C70" s="11">
        <f t="shared" si="42"/>
        <v>0.41287792880358137</v>
      </c>
      <c r="D70" s="11">
        <f t="shared" si="43"/>
        <v>32.583500000000001</v>
      </c>
      <c r="E70" s="11">
        <f t="shared" si="44"/>
        <v>0.84260751691967994</v>
      </c>
      <c r="F70" s="11">
        <f t="shared" si="45"/>
        <v>0.63912099403557954</v>
      </c>
      <c r="G70" s="11">
        <f t="shared" si="49"/>
        <v>0.99999999999999989</v>
      </c>
      <c r="H70" s="11">
        <f>0.5*(1-4*G70+SQRT(8*G70+1))</f>
        <v>2.2204460492503131E-16</v>
      </c>
      <c r="I70" s="11">
        <f t="shared" si="47"/>
        <v>1.5479659953914096</v>
      </c>
      <c r="J70" s="11">
        <f t="shared" si="48"/>
        <v>1.0000000000000002</v>
      </c>
    </row>
    <row r="72" spans="1:10" ht="18.75" x14ac:dyDescent="0.3">
      <c r="A72" s="23">
        <v>4.0999999999999996</v>
      </c>
      <c r="B72" s="23"/>
      <c r="C72" s="23"/>
      <c r="D72" s="23"/>
      <c r="E72" s="23"/>
      <c r="F72" s="23"/>
      <c r="G72" s="23"/>
      <c r="H72" s="23"/>
      <c r="I72" s="23"/>
      <c r="J72" s="23"/>
    </row>
    <row r="73" spans="1:10" ht="18.75" x14ac:dyDescent="0.25">
      <c r="A73" s="11" t="s">
        <v>26</v>
      </c>
      <c r="B73" s="11" t="s">
        <v>27</v>
      </c>
      <c r="C73" s="11" t="s">
        <v>28</v>
      </c>
      <c r="D73" s="11" t="s">
        <v>29</v>
      </c>
      <c r="E73" s="11" t="s">
        <v>30</v>
      </c>
      <c r="F73" s="11" t="s">
        <v>31</v>
      </c>
      <c r="G73" s="11" t="s">
        <v>32</v>
      </c>
      <c r="H73" s="11" t="s">
        <v>33</v>
      </c>
      <c r="I73" s="11" t="s">
        <v>7</v>
      </c>
      <c r="J73" s="16" t="s">
        <v>34</v>
      </c>
    </row>
    <row r="74" spans="1:10" ht="18.75" x14ac:dyDescent="0.25">
      <c r="A74" s="11">
        <f>43.45/2</f>
        <v>21.725000000000001</v>
      </c>
      <c r="B74" s="11">
        <f>COS(RADIANS(A74))</f>
        <v>0.92897115063448721</v>
      </c>
      <c r="C74" s="11">
        <f>TAN(RADIANS(A74))</f>
        <v>0.39845385120397919</v>
      </c>
      <c r="D74" s="11">
        <f>50.6436/2</f>
        <v>25.3218</v>
      </c>
      <c r="E74" s="11">
        <f>COS(RADIANS(D74))</f>
        <v>0.9039198823450737</v>
      </c>
      <c r="F74" s="11">
        <f>TAN(RADIANS(D74))</f>
        <v>0.47316341606598444</v>
      </c>
      <c r="G74" s="11">
        <v>0</v>
      </c>
      <c r="H74" s="11">
        <f>0.5*(1-4*G74+SQRT(8*G74+1))</f>
        <v>1</v>
      </c>
      <c r="I74" s="11">
        <f>(((0.5*(B74/E74)*H74+2*G74*(F74/C74)))^2)/(0.5*(B74/E74)*H74+4*G74*(F74/C74))</f>
        <v>0.51385701807134831</v>
      </c>
      <c r="J74" s="11">
        <f>(G74*(TAN(RADIANS(D74))/TAN(RADIANS(A74))))/I74</f>
        <v>0</v>
      </c>
    </row>
    <row r="75" spans="1:10" ht="18.75" x14ac:dyDescent="0.25">
      <c r="A75" s="11">
        <f t="shared" ref="A75:A84" si="50">43.45/2</f>
        <v>21.725000000000001</v>
      </c>
      <c r="B75" s="11">
        <f t="shared" ref="B75:B84" si="51">COS(RADIANS(A75))</f>
        <v>0.92897115063448721</v>
      </c>
      <c r="C75" s="11">
        <f t="shared" ref="C75:C84" si="52">TAN(RADIANS(A75))</f>
        <v>0.39845385120397919</v>
      </c>
      <c r="D75" s="11">
        <f t="shared" ref="D75:D84" si="53">50.6436/2</f>
        <v>25.3218</v>
      </c>
      <c r="E75" s="11">
        <f t="shared" ref="E75:E84" si="54">COS(RADIANS(D75))</f>
        <v>0.9039198823450737</v>
      </c>
      <c r="F75" s="11">
        <f t="shared" ref="F75:F84" si="55">TAN(RADIANS(D75))</f>
        <v>0.47316341606598444</v>
      </c>
      <c r="G75" s="11">
        <f>G74+0.1</f>
        <v>0.1</v>
      </c>
      <c r="H75" s="11">
        <f t="shared" ref="H75:H83" si="56">0.5*(1-4*G75+SQRT(8*G75+1))</f>
        <v>0.97082039324993685</v>
      </c>
      <c r="I75" s="11">
        <f t="shared" ref="I75:I84" si="57">(((0.5*(B75/E75)*H75+2*G75*(F75/C75)))^2)/(0.5*(B75/E75)*H75+4*G75*(F75/C75))</f>
        <v>0.55678288928341391</v>
      </c>
      <c r="J75" s="11">
        <f t="shared" ref="J75:J84" si="58">(G75*(TAN(RADIANS(D75))/TAN(RADIANS(A75))))/I75</f>
        <v>0.21327858436315508</v>
      </c>
    </row>
    <row r="76" spans="1:10" ht="18.75" x14ac:dyDescent="0.25">
      <c r="A76" s="11">
        <f t="shared" si="50"/>
        <v>21.725000000000001</v>
      </c>
      <c r="B76" s="11">
        <f t="shared" si="51"/>
        <v>0.92897115063448721</v>
      </c>
      <c r="C76" s="11">
        <f t="shared" si="52"/>
        <v>0.39845385120397919</v>
      </c>
      <c r="D76" s="11">
        <f t="shared" si="53"/>
        <v>25.3218</v>
      </c>
      <c r="E76" s="11">
        <f t="shared" si="54"/>
        <v>0.9039198823450737</v>
      </c>
      <c r="F76" s="11">
        <f t="shared" si="55"/>
        <v>0.47316341606598444</v>
      </c>
      <c r="G76" s="11">
        <f t="shared" ref="G76:G84" si="59">G75+0.1</f>
        <v>0.2</v>
      </c>
      <c r="H76" s="11">
        <f t="shared" si="56"/>
        <v>0.906225774829855</v>
      </c>
      <c r="I76" s="11">
        <f t="shared" si="57"/>
        <v>0.62504701487611769</v>
      </c>
      <c r="J76" s="11">
        <f t="shared" si="58"/>
        <v>0.37997098969436621</v>
      </c>
    </row>
    <row r="77" spans="1:10" ht="18.75" x14ac:dyDescent="0.25">
      <c r="A77" s="11">
        <f t="shared" si="50"/>
        <v>21.725000000000001</v>
      </c>
      <c r="B77" s="11">
        <f t="shared" si="51"/>
        <v>0.92897115063448721</v>
      </c>
      <c r="C77" s="11">
        <f t="shared" si="52"/>
        <v>0.39845385120397919</v>
      </c>
      <c r="D77" s="11">
        <f t="shared" si="53"/>
        <v>25.3218</v>
      </c>
      <c r="E77" s="11">
        <f t="shared" si="54"/>
        <v>0.9039198823450737</v>
      </c>
      <c r="F77" s="11">
        <f t="shared" si="55"/>
        <v>0.47316341606598444</v>
      </c>
      <c r="G77" s="11">
        <f t="shared" si="59"/>
        <v>0.30000000000000004</v>
      </c>
      <c r="H77" s="11">
        <f t="shared" si="56"/>
        <v>0.82195444572928866</v>
      </c>
      <c r="I77" s="11">
        <f t="shared" si="57"/>
        <v>0.69716656256824416</v>
      </c>
      <c r="J77" s="11">
        <f t="shared" si="58"/>
        <v>0.51099639368764049</v>
      </c>
    </row>
    <row r="78" spans="1:10" ht="18.75" x14ac:dyDescent="0.25">
      <c r="A78" s="11">
        <f t="shared" si="50"/>
        <v>21.725000000000001</v>
      </c>
      <c r="B78" s="11">
        <f t="shared" si="51"/>
        <v>0.92897115063448721</v>
      </c>
      <c r="C78" s="11">
        <f t="shared" si="52"/>
        <v>0.39845385120397919</v>
      </c>
      <c r="D78" s="11">
        <f t="shared" si="53"/>
        <v>25.3218</v>
      </c>
      <c r="E78" s="11">
        <f t="shared" si="54"/>
        <v>0.9039198823450737</v>
      </c>
      <c r="F78" s="11">
        <f t="shared" si="55"/>
        <v>0.47316341606598444</v>
      </c>
      <c r="G78" s="11">
        <f t="shared" si="59"/>
        <v>0.4</v>
      </c>
      <c r="H78" s="11">
        <f t="shared" si="56"/>
        <v>0.72469507659595989</v>
      </c>
      <c r="I78" s="11">
        <f t="shared" si="57"/>
        <v>0.76954813048636472</v>
      </c>
      <c r="J78" s="11">
        <f t="shared" si="58"/>
        <v>0.61724464900690401</v>
      </c>
    </row>
    <row r="79" spans="1:10" ht="18.75" x14ac:dyDescent="0.25">
      <c r="A79" s="11">
        <f t="shared" si="50"/>
        <v>21.725000000000001</v>
      </c>
      <c r="B79" s="11">
        <f t="shared" si="51"/>
        <v>0.92897115063448721</v>
      </c>
      <c r="C79" s="11">
        <f t="shared" si="52"/>
        <v>0.39845385120397919</v>
      </c>
      <c r="D79" s="11">
        <f t="shared" si="53"/>
        <v>25.3218</v>
      </c>
      <c r="E79" s="11">
        <f t="shared" si="54"/>
        <v>0.9039198823450737</v>
      </c>
      <c r="F79" s="11">
        <f t="shared" si="55"/>
        <v>0.47316341606598444</v>
      </c>
      <c r="G79" s="11">
        <f t="shared" si="59"/>
        <v>0.5</v>
      </c>
      <c r="H79" s="11">
        <f t="shared" si="56"/>
        <v>0.6180339887498949</v>
      </c>
      <c r="I79" s="11">
        <f t="shared" si="57"/>
        <v>0.84129958044767217</v>
      </c>
      <c r="J79" s="11">
        <f t="shared" si="58"/>
        <v>0.70575255939628945</v>
      </c>
    </row>
    <row r="80" spans="1:10" ht="18.75" x14ac:dyDescent="0.25">
      <c r="A80" s="11">
        <f t="shared" si="50"/>
        <v>21.725000000000001</v>
      </c>
      <c r="B80" s="11">
        <f t="shared" si="51"/>
        <v>0.92897115063448721</v>
      </c>
      <c r="C80" s="11">
        <f t="shared" si="52"/>
        <v>0.39845385120397919</v>
      </c>
      <c r="D80" s="11">
        <f t="shared" si="53"/>
        <v>25.3218</v>
      </c>
      <c r="E80" s="11">
        <f t="shared" si="54"/>
        <v>0.9039198823450737</v>
      </c>
      <c r="F80" s="11">
        <f t="shared" si="55"/>
        <v>0.47316341606598444</v>
      </c>
      <c r="G80" s="11">
        <f t="shared" si="59"/>
        <v>0.6</v>
      </c>
      <c r="H80" s="11">
        <f t="shared" si="56"/>
        <v>0.50415945787922967</v>
      </c>
      <c r="I80" s="11">
        <f t="shared" si="57"/>
        <v>0.9121953385685635</v>
      </c>
      <c r="J80" s="11">
        <f t="shared" si="58"/>
        <v>0.78108182361689327</v>
      </c>
    </row>
    <row r="81" spans="1:10" ht="18.75" x14ac:dyDescent="0.25">
      <c r="A81" s="11">
        <f t="shared" si="50"/>
        <v>21.725000000000001</v>
      </c>
      <c r="B81" s="11">
        <f t="shared" si="51"/>
        <v>0.92897115063448721</v>
      </c>
      <c r="C81" s="11">
        <f t="shared" si="52"/>
        <v>0.39845385120397919</v>
      </c>
      <c r="D81" s="11">
        <f t="shared" si="53"/>
        <v>25.3218</v>
      </c>
      <c r="E81" s="11">
        <f t="shared" si="54"/>
        <v>0.9039198823450737</v>
      </c>
      <c r="F81" s="11">
        <f t="shared" si="55"/>
        <v>0.47316341606598444</v>
      </c>
      <c r="G81" s="11">
        <f t="shared" si="59"/>
        <v>0.7</v>
      </c>
      <c r="H81" s="11">
        <f t="shared" si="56"/>
        <v>0.38452325786651298</v>
      </c>
      <c r="I81" s="11">
        <f t="shared" si="57"/>
        <v>0.98221236515349486</v>
      </c>
      <c r="J81" s="11">
        <f t="shared" si="58"/>
        <v>0.84630278996544062</v>
      </c>
    </row>
    <row r="82" spans="1:10" ht="18.75" x14ac:dyDescent="0.25">
      <c r="A82" s="11">
        <f t="shared" si="50"/>
        <v>21.725000000000001</v>
      </c>
      <c r="B82" s="11">
        <f t="shared" si="51"/>
        <v>0.92897115063448721</v>
      </c>
      <c r="C82" s="11">
        <f t="shared" si="52"/>
        <v>0.39845385120397919</v>
      </c>
      <c r="D82" s="11">
        <f t="shared" si="53"/>
        <v>25.3218</v>
      </c>
      <c r="E82" s="11">
        <f t="shared" si="54"/>
        <v>0.9039198823450737</v>
      </c>
      <c r="F82" s="11">
        <f t="shared" si="55"/>
        <v>0.47316341606598444</v>
      </c>
      <c r="G82" s="11">
        <f t="shared" si="59"/>
        <v>0.79999999999999993</v>
      </c>
      <c r="H82" s="11">
        <f t="shared" si="56"/>
        <v>0.26014705087354439</v>
      </c>
      <c r="I82" s="11">
        <f t="shared" si="57"/>
        <v>1.0513934233139266</v>
      </c>
      <c r="J82" s="11">
        <f t="shared" si="58"/>
        <v>0.90356179744553955</v>
      </c>
    </row>
    <row r="83" spans="1:10" ht="18.75" x14ac:dyDescent="0.25">
      <c r="A83" s="11">
        <f t="shared" si="50"/>
        <v>21.725000000000001</v>
      </c>
      <c r="B83" s="11">
        <f t="shared" si="51"/>
        <v>0.92897115063448721</v>
      </c>
      <c r="C83" s="11">
        <f t="shared" si="52"/>
        <v>0.39845385120397919</v>
      </c>
      <c r="D83" s="11">
        <f t="shared" si="53"/>
        <v>25.3218</v>
      </c>
      <c r="E83" s="11">
        <f t="shared" si="54"/>
        <v>0.9039198823450737</v>
      </c>
      <c r="F83" s="11">
        <f t="shared" si="55"/>
        <v>0.47316341606598444</v>
      </c>
      <c r="G83" s="11">
        <f t="shared" si="59"/>
        <v>0.89999999999999991</v>
      </c>
      <c r="H83" s="11">
        <f t="shared" si="56"/>
        <v>0.13178210632763543</v>
      </c>
      <c r="I83" s="11">
        <f t="shared" si="57"/>
        <v>1.1198006512394194</v>
      </c>
      <c r="J83" s="11">
        <f t="shared" si="58"/>
        <v>0.95440987342973083</v>
      </c>
    </row>
    <row r="84" spans="1:10" ht="18.75" x14ac:dyDescent="0.25">
      <c r="A84" s="11">
        <f t="shared" si="50"/>
        <v>21.725000000000001</v>
      </c>
      <c r="B84" s="11">
        <f t="shared" si="51"/>
        <v>0.92897115063448721</v>
      </c>
      <c r="C84" s="11">
        <f t="shared" si="52"/>
        <v>0.39845385120397919</v>
      </c>
      <c r="D84" s="11">
        <f t="shared" si="53"/>
        <v>25.3218</v>
      </c>
      <c r="E84" s="11">
        <f t="shared" si="54"/>
        <v>0.9039198823450737</v>
      </c>
      <c r="F84" s="11">
        <f t="shared" si="55"/>
        <v>0.47316341606598444</v>
      </c>
      <c r="G84" s="11">
        <f t="shared" si="59"/>
        <v>0.99999999999999989</v>
      </c>
      <c r="H84" s="11">
        <f>0.5*(1-4*G84+SQRT(8*G84+1))</f>
        <v>2.2204460492503131E-16</v>
      </c>
      <c r="I84" s="11">
        <f t="shared" si="57"/>
        <v>1.1874986642399381</v>
      </c>
      <c r="J84" s="11">
        <f t="shared" si="58"/>
        <v>1</v>
      </c>
    </row>
    <row r="86" spans="1:10" ht="18.75" x14ac:dyDescent="0.3">
      <c r="A86" s="32">
        <v>4.2</v>
      </c>
      <c r="B86" s="32"/>
      <c r="C86" s="32"/>
      <c r="D86" s="32"/>
      <c r="E86" s="32"/>
      <c r="F86" s="32"/>
      <c r="G86" s="32"/>
      <c r="H86" s="32"/>
      <c r="I86" s="32"/>
      <c r="J86" s="32"/>
    </row>
    <row r="87" spans="1:10" ht="18.75" x14ac:dyDescent="0.25">
      <c r="A87" s="11" t="s">
        <v>26</v>
      </c>
      <c r="B87" s="11" t="s">
        <v>27</v>
      </c>
      <c r="C87" s="11" t="s">
        <v>28</v>
      </c>
      <c r="D87" s="11" t="s">
        <v>29</v>
      </c>
      <c r="E87" s="11" t="s">
        <v>30</v>
      </c>
      <c r="F87" s="11" t="s">
        <v>31</v>
      </c>
      <c r="G87" s="11" t="s">
        <v>32</v>
      </c>
      <c r="H87" s="11" t="s">
        <v>33</v>
      </c>
      <c r="I87" s="11" t="s">
        <v>7</v>
      </c>
      <c r="J87" s="16" t="s">
        <v>34</v>
      </c>
    </row>
    <row r="88" spans="1:10" ht="18.75" x14ac:dyDescent="0.25">
      <c r="A88" s="11">
        <f>44.0721/2</f>
        <v>22.036049999999999</v>
      </c>
      <c r="B88" s="11">
        <f>COS(RADIANS(A88))</f>
        <v>0.92694797188455436</v>
      </c>
      <c r="C88" s="11">
        <f>TAN(RADIANS(A88))</f>
        <v>0.40475831063362844</v>
      </c>
      <c r="D88" s="11">
        <f>51.3241/2</f>
        <v>25.662050000000001</v>
      </c>
      <c r="E88" s="11">
        <f>COS(RADIANS(D88))</f>
        <v>0.90136405880263204</v>
      </c>
      <c r="F88" s="11">
        <f>TAN(RADIANS(D88))</f>
        <v>0.48045199351223117</v>
      </c>
      <c r="G88" s="11">
        <v>0</v>
      </c>
      <c r="H88" s="11">
        <f>0.5*(1-4*G88+SQRT(8*G88+1))</f>
        <v>1</v>
      </c>
      <c r="I88" s="11">
        <f>(((0.5*(B88/E88)*H88+2*G88*(F88/C88)))^2)/(0.5*(B88/E88)*H88+4*G88*(F88/C88))</f>
        <v>0.51419177569377894</v>
      </c>
      <c r="J88" s="11">
        <f>(G88*(TAN(RADIANS(D88))/TAN(RADIANS(A88))))/I88</f>
        <v>0</v>
      </c>
    </row>
    <row r="89" spans="1:10" ht="18.75" x14ac:dyDescent="0.25">
      <c r="A89" s="11">
        <f t="shared" ref="A89:A98" si="60">44.0721/2</f>
        <v>22.036049999999999</v>
      </c>
      <c r="B89" s="11">
        <f t="shared" ref="B89:B98" si="61">COS(RADIANS(A89))</f>
        <v>0.92694797188455436</v>
      </c>
      <c r="C89" s="11">
        <f t="shared" ref="C89:C98" si="62">TAN(RADIANS(A89))</f>
        <v>0.40475831063362844</v>
      </c>
      <c r="D89" s="11">
        <f t="shared" ref="D89:D98" si="63">51.3241/2</f>
        <v>25.662050000000001</v>
      </c>
      <c r="E89" s="11">
        <f t="shared" ref="E89:E98" si="64">COS(RADIANS(D89))</f>
        <v>0.90136405880263204</v>
      </c>
      <c r="F89" s="11">
        <f t="shared" ref="F89:F98" si="65">TAN(RADIANS(D89))</f>
        <v>0.48045199351223117</v>
      </c>
      <c r="G89" s="11">
        <f>G88+0.1</f>
        <v>0.1</v>
      </c>
      <c r="H89" s="11">
        <f t="shared" ref="H89:H97" si="66">0.5*(1-4*G89+SQRT(8*G89+1))</f>
        <v>0.97082039324993685</v>
      </c>
      <c r="I89" s="11">
        <f t="shared" ref="I89:I98" si="67">(((0.5*(B89/E89)*H89+2*G89*(F89/C89)))^2)/(0.5*(B89/E89)*H89+4*G89*(F89/C89))</f>
        <v>0.55705249285477687</v>
      </c>
      <c r="J89" s="11">
        <f t="shared" ref="J89:J98" si="68">(G89*(TAN(RADIANS(D89))/TAN(RADIANS(A89))))/I89</f>
        <v>0.21308756323755812</v>
      </c>
    </row>
    <row r="90" spans="1:10" ht="18.75" x14ac:dyDescent="0.25">
      <c r="A90" s="11">
        <f t="shared" si="60"/>
        <v>22.036049999999999</v>
      </c>
      <c r="B90" s="11">
        <f t="shared" si="61"/>
        <v>0.92694797188455436</v>
      </c>
      <c r="C90" s="11">
        <f t="shared" si="62"/>
        <v>0.40475831063362844</v>
      </c>
      <c r="D90" s="11">
        <f t="shared" si="63"/>
        <v>25.662050000000001</v>
      </c>
      <c r="E90" s="11">
        <f t="shared" si="64"/>
        <v>0.90136405880263204</v>
      </c>
      <c r="F90" s="11">
        <f t="shared" si="65"/>
        <v>0.48045199351223117</v>
      </c>
      <c r="G90" s="11">
        <f t="shared" ref="G90:G98" si="69">G89+0.1</f>
        <v>0.2</v>
      </c>
      <c r="H90" s="11">
        <f t="shared" si="66"/>
        <v>0.906225774829855</v>
      </c>
      <c r="I90" s="11">
        <f t="shared" si="67"/>
        <v>0.62522901493898786</v>
      </c>
      <c r="J90" s="11">
        <f t="shared" si="68"/>
        <v>0.37970393395583196</v>
      </c>
    </row>
    <row r="91" spans="1:10" ht="18.75" x14ac:dyDescent="0.25">
      <c r="A91" s="11">
        <f t="shared" si="60"/>
        <v>22.036049999999999</v>
      </c>
      <c r="B91" s="11">
        <f t="shared" si="61"/>
        <v>0.92694797188455436</v>
      </c>
      <c r="C91" s="11">
        <f t="shared" si="62"/>
        <v>0.40475831063362844</v>
      </c>
      <c r="D91" s="11">
        <f t="shared" si="63"/>
        <v>25.662050000000001</v>
      </c>
      <c r="E91" s="11">
        <f t="shared" si="64"/>
        <v>0.90136405880263204</v>
      </c>
      <c r="F91" s="11">
        <f t="shared" si="65"/>
        <v>0.48045199351223117</v>
      </c>
      <c r="G91" s="11">
        <f t="shared" si="69"/>
        <v>0.30000000000000004</v>
      </c>
      <c r="H91" s="11">
        <f t="shared" si="66"/>
        <v>0.82195444572928866</v>
      </c>
      <c r="I91" s="11">
        <f t="shared" si="67"/>
        <v>0.69726174965802856</v>
      </c>
      <c r="J91" s="11">
        <f t="shared" si="68"/>
        <v>0.51071620531048112</v>
      </c>
    </row>
    <row r="92" spans="1:10" ht="18.75" x14ac:dyDescent="0.25">
      <c r="A92" s="11">
        <f t="shared" si="60"/>
        <v>22.036049999999999</v>
      </c>
      <c r="B92" s="11">
        <f t="shared" si="61"/>
        <v>0.92694797188455436</v>
      </c>
      <c r="C92" s="11">
        <f t="shared" si="62"/>
        <v>0.40475831063362844</v>
      </c>
      <c r="D92" s="11">
        <f t="shared" si="63"/>
        <v>25.662050000000001</v>
      </c>
      <c r="E92" s="11">
        <f t="shared" si="64"/>
        <v>0.90136405880263204</v>
      </c>
      <c r="F92" s="11">
        <f t="shared" si="65"/>
        <v>0.48045199351223117</v>
      </c>
      <c r="G92" s="11">
        <f t="shared" si="69"/>
        <v>0.4</v>
      </c>
      <c r="H92" s="11">
        <f t="shared" si="66"/>
        <v>0.72469507659595989</v>
      </c>
      <c r="I92" s="11">
        <f t="shared" si="67"/>
        <v>0.76955796088511441</v>
      </c>
      <c r="J92" s="11">
        <f t="shared" si="68"/>
        <v>0.61698255014505532</v>
      </c>
    </row>
    <row r="93" spans="1:10" ht="18.75" x14ac:dyDescent="0.25">
      <c r="A93" s="11">
        <f t="shared" si="60"/>
        <v>22.036049999999999</v>
      </c>
      <c r="B93" s="11">
        <f t="shared" si="61"/>
        <v>0.92694797188455436</v>
      </c>
      <c r="C93" s="11">
        <f t="shared" si="62"/>
        <v>0.40475831063362844</v>
      </c>
      <c r="D93" s="11">
        <f t="shared" si="63"/>
        <v>25.662050000000001</v>
      </c>
      <c r="E93" s="11">
        <f t="shared" si="64"/>
        <v>0.90136405880263204</v>
      </c>
      <c r="F93" s="11">
        <f t="shared" si="65"/>
        <v>0.48045199351223117</v>
      </c>
      <c r="G93" s="11">
        <f t="shared" si="69"/>
        <v>0.5</v>
      </c>
      <c r="H93" s="11">
        <f t="shared" si="66"/>
        <v>0.6180339887498949</v>
      </c>
      <c r="I93" s="11">
        <f t="shared" si="67"/>
        <v>0.8412251002276081</v>
      </c>
      <c r="J93" s="11">
        <f t="shared" si="68"/>
        <v>0.70552434934308927</v>
      </c>
    </row>
    <row r="94" spans="1:10" ht="18.75" x14ac:dyDescent="0.25">
      <c r="A94" s="11">
        <f t="shared" si="60"/>
        <v>22.036049999999999</v>
      </c>
      <c r="B94" s="11">
        <f t="shared" si="61"/>
        <v>0.92694797188455436</v>
      </c>
      <c r="C94" s="11">
        <f t="shared" si="62"/>
        <v>0.40475831063362844</v>
      </c>
      <c r="D94" s="11">
        <f t="shared" si="63"/>
        <v>25.662050000000001</v>
      </c>
      <c r="E94" s="11">
        <f t="shared" si="64"/>
        <v>0.90136405880263204</v>
      </c>
      <c r="F94" s="11">
        <f t="shared" si="65"/>
        <v>0.48045199351223117</v>
      </c>
      <c r="G94" s="11">
        <f t="shared" si="69"/>
        <v>0.6</v>
      </c>
      <c r="H94" s="11">
        <f t="shared" si="66"/>
        <v>0.50415945787922967</v>
      </c>
      <c r="I94" s="11">
        <f t="shared" si="67"/>
        <v>0.91203724940280062</v>
      </c>
      <c r="J94" s="11">
        <f t="shared" si="68"/>
        <v>0.78089546260675236</v>
      </c>
    </row>
    <row r="95" spans="1:10" ht="18.75" x14ac:dyDescent="0.25">
      <c r="A95" s="11">
        <f t="shared" si="60"/>
        <v>22.036049999999999</v>
      </c>
      <c r="B95" s="11">
        <f t="shared" si="61"/>
        <v>0.92694797188455436</v>
      </c>
      <c r="C95" s="11">
        <f t="shared" si="62"/>
        <v>0.40475831063362844</v>
      </c>
      <c r="D95" s="11">
        <f t="shared" si="63"/>
        <v>25.662050000000001</v>
      </c>
      <c r="E95" s="11">
        <f t="shared" si="64"/>
        <v>0.90136405880263204</v>
      </c>
      <c r="F95" s="11">
        <f t="shared" si="65"/>
        <v>0.48045199351223117</v>
      </c>
      <c r="G95" s="11">
        <f t="shared" si="69"/>
        <v>0.7</v>
      </c>
      <c r="H95" s="11">
        <f t="shared" si="66"/>
        <v>0.38452325786651298</v>
      </c>
      <c r="I95" s="11">
        <f t="shared" si="67"/>
        <v>0.98197113871282526</v>
      </c>
      <c r="J95" s="11">
        <f t="shared" si="68"/>
        <v>0.84616204624300861</v>
      </c>
    </row>
    <row r="96" spans="1:10" ht="18.75" x14ac:dyDescent="0.25">
      <c r="A96" s="11">
        <f t="shared" si="60"/>
        <v>22.036049999999999</v>
      </c>
      <c r="B96" s="11">
        <f t="shared" si="61"/>
        <v>0.92694797188455436</v>
      </c>
      <c r="C96" s="11">
        <f t="shared" si="62"/>
        <v>0.40475831063362844</v>
      </c>
      <c r="D96" s="11">
        <f t="shared" si="63"/>
        <v>25.662050000000001</v>
      </c>
      <c r="E96" s="11">
        <f t="shared" si="64"/>
        <v>0.90136405880263204</v>
      </c>
      <c r="F96" s="11">
        <f t="shared" si="65"/>
        <v>0.48045199351223117</v>
      </c>
      <c r="G96" s="11">
        <f t="shared" si="69"/>
        <v>0.79999999999999993</v>
      </c>
      <c r="H96" s="11">
        <f t="shared" si="66"/>
        <v>0.26014705087354439</v>
      </c>
      <c r="I96" s="11">
        <f t="shared" si="67"/>
        <v>1.0510693805981983</v>
      </c>
      <c r="J96" s="11">
        <f t="shared" si="68"/>
        <v>0.90346810963344781</v>
      </c>
    </row>
    <row r="97" spans="1:10" ht="18.75" x14ac:dyDescent="0.25">
      <c r="A97" s="11">
        <f t="shared" si="60"/>
        <v>22.036049999999999</v>
      </c>
      <c r="B97" s="11">
        <f t="shared" si="61"/>
        <v>0.92694797188455436</v>
      </c>
      <c r="C97" s="11">
        <f t="shared" si="62"/>
        <v>0.40475831063362844</v>
      </c>
      <c r="D97" s="11">
        <f t="shared" si="63"/>
        <v>25.662050000000001</v>
      </c>
      <c r="E97" s="11">
        <f t="shared" si="64"/>
        <v>0.90136405880263204</v>
      </c>
      <c r="F97" s="11">
        <f t="shared" si="65"/>
        <v>0.48045199351223117</v>
      </c>
      <c r="G97" s="11">
        <f t="shared" si="69"/>
        <v>0.89999999999999991</v>
      </c>
      <c r="H97" s="11">
        <f t="shared" si="66"/>
        <v>0.13178210632763543</v>
      </c>
      <c r="I97" s="11">
        <f t="shared" si="67"/>
        <v>1.1193940129878992</v>
      </c>
      <c r="J97" s="11">
        <f t="shared" si="68"/>
        <v>0.95436335399806471</v>
      </c>
    </row>
    <row r="98" spans="1:10" ht="18.75" x14ac:dyDescent="0.25">
      <c r="A98" s="11">
        <f t="shared" si="60"/>
        <v>22.036049999999999</v>
      </c>
      <c r="B98" s="11">
        <f t="shared" si="61"/>
        <v>0.92694797188455436</v>
      </c>
      <c r="C98" s="11">
        <f t="shared" si="62"/>
        <v>0.40475831063362844</v>
      </c>
      <c r="D98" s="11">
        <f t="shared" si="63"/>
        <v>25.662050000000001</v>
      </c>
      <c r="E98" s="11">
        <f t="shared" si="64"/>
        <v>0.90136405880263204</v>
      </c>
      <c r="F98" s="11">
        <f t="shared" si="65"/>
        <v>0.48045199351223117</v>
      </c>
      <c r="G98" s="11">
        <f t="shared" si="69"/>
        <v>0.99999999999999989</v>
      </c>
      <c r="H98" s="11">
        <f>0.5*(1-4*G98+SQRT(8*G98+1))</f>
        <v>2.2204460492503131E-16</v>
      </c>
      <c r="I98" s="11">
        <f t="shared" si="67"/>
        <v>1.1870095829783163</v>
      </c>
      <c r="J98" s="11">
        <f t="shared" si="68"/>
        <v>1</v>
      </c>
    </row>
    <row r="100" spans="1:10" ht="18.75" x14ac:dyDescent="0.3">
      <c r="A100" s="32">
        <v>5.0999999999999996</v>
      </c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ht="18.75" x14ac:dyDescent="0.25">
      <c r="A101" s="11" t="s">
        <v>26</v>
      </c>
      <c r="B101" s="11" t="s">
        <v>27</v>
      </c>
      <c r="C101" s="11" t="s">
        <v>28</v>
      </c>
      <c r="D101" s="11" t="s">
        <v>29</v>
      </c>
      <c r="E101" s="11" t="s">
        <v>30</v>
      </c>
      <c r="F101" s="11" t="s">
        <v>31</v>
      </c>
      <c r="G101" s="11" t="s">
        <v>32</v>
      </c>
      <c r="H101" s="11" t="s">
        <v>33</v>
      </c>
      <c r="I101" s="11" t="s">
        <v>7</v>
      </c>
      <c r="J101" s="16" t="s">
        <v>34</v>
      </c>
    </row>
    <row r="102" spans="1:10" ht="18.75" x14ac:dyDescent="0.25">
      <c r="A102" s="11">
        <f>43.4694/2</f>
        <v>21.7347</v>
      </c>
      <c r="B102" s="11">
        <f>COS(RADIANS(A102))</f>
        <v>0.92890847169951307</v>
      </c>
      <c r="C102" s="11">
        <f>TAN(RADIANS(A102))</f>
        <v>0.39865003988570352</v>
      </c>
      <c r="D102" s="11">
        <f>50.6631/2</f>
        <v>25.33155</v>
      </c>
      <c r="E102" s="11">
        <f>COS(RADIANS(D102))</f>
        <v>0.9038470874092992</v>
      </c>
      <c r="F102" s="11">
        <f>TAN(RADIANS(D102))</f>
        <v>0.47337170062696354</v>
      </c>
      <c r="G102" s="11">
        <v>0</v>
      </c>
      <c r="H102" s="11">
        <f>0.5*(1-4*G102+SQRT(8*G102+1))</f>
        <v>1</v>
      </c>
      <c r="I102" s="11">
        <f>(((0.5*(B102/E102)*H102+2*G102*(F102/C102)))^2)/(0.5*(B102/E102)*H102+4*G102*(F102/C102))</f>
        <v>0.51386373018142228</v>
      </c>
      <c r="J102" s="11">
        <f>(G102*(TAN(RADIANS(D102))/TAN(RADIANS(A102))))/I102</f>
        <v>0</v>
      </c>
    </row>
    <row r="103" spans="1:10" ht="18.75" x14ac:dyDescent="0.25">
      <c r="A103" s="11">
        <f t="shared" ref="A103:A112" si="70">43.4694/2</f>
        <v>21.7347</v>
      </c>
      <c r="B103" s="11">
        <f t="shared" ref="B103:B112" si="71">COS(RADIANS(A103))</f>
        <v>0.92890847169951307</v>
      </c>
      <c r="C103" s="11">
        <f t="shared" ref="C103:C112" si="72">TAN(RADIANS(A103))</f>
        <v>0.39865003988570352</v>
      </c>
      <c r="D103" s="11">
        <f t="shared" ref="D103:D112" si="73">50.6631/2</f>
        <v>25.33155</v>
      </c>
      <c r="E103" s="11">
        <f t="shared" ref="E103:E112" si="74">COS(RADIANS(D103))</f>
        <v>0.9038470874092992</v>
      </c>
      <c r="F103" s="11">
        <f t="shared" ref="F103:F112" si="75">TAN(RADIANS(D103))</f>
        <v>0.47337170062696354</v>
      </c>
      <c r="G103" s="11">
        <f>G102+0.1</f>
        <v>0.1</v>
      </c>
      <c r="H103" s="11">
        <f t="shared" ref="H103:H111" si="76">0.5*(1-4*G103+SQRT(8*G103+1))</f>
        <v>0.97082039324993685</v>
      </c>
      <c r="I103" s="11">
        <f t="shared" ref="I103:I112" si="77">(((0.5*(B103/E103)*H103+2*G103*(F103/C103)))^2)/(0.5*(B103/E103)*H103+4*G103*(F103/C103))</f>
        <v>0.55678444995077447</v>
      </c>
      <c r="J103" s="11">
        <f t="shared" ref="J103:J112" si="78">(G103*(TAN(RADIANS(D103))/TAN(RADIANS(A103))))/I103</f>
        <v>0.21326686336857451</v>
      </c>
    </row>
    <row r="104" spans="1:10" ht="18.75" x14ac:dyDescent="0.25">
      <c r="A104" s="11">
        <f t="shared" si="70"/>
        <v>21.7347</v>
      </c>
      <c r="B104" s="11">
        <f t="shared" si="71"/>
        <v>0.92890847169951307</v>
      </c>
      <c r="C104" s="11">
        <f t="shared" si="72"/>
        <v>0.39865003988570352</v>
      </c>
      <c r="D104" s="11">
        <f t="shared" si="73"/>
        <v>25.33155</v>
      </c>
      <c r="E104" s="11">
        <f t="shared" si="74"/>
        <v>0.9038470874092992</v>
      </c>
      <c r="F104" s="11">
        <f t="shared" si="75"/>
        <v>0.47337170062696354</v>
      </c>
      <c r="G104" s="11">
        <f t="shared" ref="G104:G112" si="79">G103+0.1</f>
        <v>0.2</v>
      </c>
      <c r="H104" s="11">
        <f t="shared" si="76"/>
        <v>0.906225774829855</v>
      </c>
      <c r="I104" s="11">
        <f t="shared" si="77"/>
        <v>0.62504136665512977</v>
      </c>
      <c r="J104" s="11">
        <f t="shared" si="78"/>
        <v>0.37995460636100986</v>
      </c>
    </row>
    <row r="105" spans="1:10" ht="18.75" x14ac:dyDescent="0.25">
      <c r="A105" s="11">
        <f t="shared" si="70"/>
        <v>21.7347</v>
      </c>
      <c r="B105" s="11">
        <f t="shared" si="71"/>
        <v>0.92890847169951307</v>
      </c>
      <c r="C105" s="11">
        <f t="shared" si="72"/>
        <v>0.39865003988570352</v>
      </c>
      <c r="D105" s="11">
        <f t="shared" si="73"/>
        <v>25.33155</v>
      </c>
      <c r="E105" s="11">
        <f t="shared" si="74"/>
        <v>0.9038470874092992</v>
      </c>
      <c r="F105" s="11">
        <f t="shared" si="75"/>
        <v>0.47337170062696354</v>
      </c>
      <c r="G105" s="11">
        <f t="shared" si="79"/>
        <v>0.30000000000000004</v>
      </c>
      <c r="H105" s="11">
        <f t="shared" si="76"/>
        <v>0.82195444572928866</v>
      </c>
      <c r="I105" s="11">
        <f t="shared" si="77"/>
        <v>0.69715365058008183</v>
      </c>
      <c r="J105" s="11">
        <f t="shared" si="78"/>
        <v>0.51097920715725509</v>
      </c>
    </row>
    <row r="106" spans="1:10" ht="18.75" x14ac:dyDescent="0.25">
      <c r="A106" s="11">
        <f t="shared" si="70"/>
        <v>21.7347</v>
      </c>
      <c r="B106" s="11">
        <f t="shared" si="71"/>
        <v>0.92890847169951307</v>
      </c>
      <c r="C106" s="11">
        <f t="shared" si="72"/>
        <v>0.39865003988570352</v>
      </c>
      <c r="D106" s="11">
        <f t="shared" si="73"/>
        <v>25.33155</v>
      </c>
      <c r="E106" s="11">
        <f t="shared" si="74"/>
        <v>0.9038470874092992</v>
      </c>
      <c r="F106" s="11">
        <f t="shared" si="75"/>
        <v>0.47337170062696354</v>
      </c>
      <c r="G106" s="11">
        <f t="shared" si="79"/>
        <v>0.4</v>
      </c>
      <c r="H106" s="11">
        <f t="shared" si="76"/>
        <v>0.72469507659595989</v>
      </c>
      <c r="I106" s="11">
        <f t="shared" si="77"/>
        <v>0.76952803705469264</v>
      </c>
      <c r="J106" s="11">
        <f t="shared" si="78"/>
        <v>0.61722857385615582</v>
      </c>
    </row>
    <row r="107" spans="1:10" ht="18.75" x14ac:dyDescent="0.25">
      <c r="A107" s="11">
        <f t="shared" si="70"/>
        <v>21.7347</v>
      </c>
      <c r="B107" s="11">
        <f t="shared" si="71"/>
        <v>0.92890847169951307</v>
      </c>
      <c r="C107" s="11">
        <f t="shared" si="72"/>
        <v>0.39865003988570352</v>
      </c>
      <c r="D107" s="11">
        <f t="shared" si="73"/>
        <v>25.33155</v>
      </c>
      <c r="E107" s="11">
        <f t="shared" si="74"/>
        <v>0.9038470874092992</v>
      </c>
      <c r="F107" s="11">
        <f t="shared" si="75"/>
        <v>0.47337170062696354</v>
      </c>
      <c r="G107" s="11">
        <f t="shared" si="79"/>
        <v>0.5</v>
      </c>
      <c r="H107" s="11">
        <f t="shared" si="76"/>
        <v>0.6180339887498949</v>
      </c>
      <c r="I107" s="11">
        <f t="shared" si="77"/>
        <v>0.84127238665556103</v>
      </c>
      <c r="J107" s="11">
        <f t="shared" si="78"/>
        <v>0.70573856397128787</v>
      </c>
    </row>
    <row r="108" spans="1:10" ht="18.75" x14ac:dyDescent="0.25">
      <c r="A108" s="11">
        <f t="shared" si="70"/>
        <v>21.7347</v>
      </c>
      <c r="B108" s="11">
        <f t="shared" si="71"/>
        <v>0.92890847169951307</v>
      </c>
      <c r="C108" s="11">
        <f t="shared" si="72"/>
        <v>0.39865003988570352</v>
      </c>
      <c r="D108" s="11">
        <f t="shared" si="73"/>
        <v>25.33155</v>
      </c>
      <c r="E108" s="11">
        <f t="shared" si="74"/>
        <v>0.9038470874092992</v>
      </c>
      <c r="F108" s="11">
        <f t="shared" si="75"/>
        <v>0.47337170062696354</v>
      </c>
      <c r="G108" s="11">
        <f t="shared" si="79"/>
        <v>0.6</v>
      </c>
      <c r="H108" s="11">
        <f t="shared" si="76"/>
        <v>0.50415945787922967</v>
      </c>
      <c r="I108" s="11">
        <f t="shared" si="77"/>
        <v>0.91216111042251646</v>
      </c>
      <c r="J108" s="11">
        <f t="shared" si="78"/>
        <v>0.7810703955032432</v>
      </c>
    </row>
    <row r="109" spans="1:10" ht="18.75" x14ac:dyDescent="0.25">
      <c r="A109" s="11">
        <f t="shared" si="70"/>
        <v>21.7347</v>
      </c>
      <c r="B109" s="11">
        <f t="shared" si="71"/>
        <v>0.92890847169951307</v>
      </c>
      <c r="C109" s="11">
        <f t="shared" si="72"/>
        <v>0.39865003988570352</v>
      </c>
      <c r="D109" s="11">
        <f t="shared" si="73"/>
        <v>25.33155</v>
      </c>
      <c r="E109" s="11">
        <f t="shared" si="74"/>
        <v>0.9038470874092992</v>
      </c>
      <c r="F109" s="11">
        <f t="shared" si="75"/>
        <v>0.47337170062696354</v>
      </c>
      <c r="G109" s="11">
        <f t="shared" si="79"/>
        <v>0.7</v>
      </c>
      <c r="H109" s="11">
        <f t="shared" si="76"/>
        <v>0.38452325786651298</v>
      </c>
      <c r="I109" s="11">
        <f t="shared" si="77"/>
        <v>0.98217115516947084</v>
      </c>
      <c r="J109" s="11">
        <f t="shared" si="78"/>
        <v>0.84629415974893807</v>
      </c>
    </row>
    <row r="110" spans="1:10" ht="18.75" x14ac:dyDescent="0.25">
      <c r="A110" s="11">
        <f t="shared" si="70"/>
        <v>21.7347</v>
      </c>
      <c r="B110" s="11">
        <f t="shared" si="71"/>
        <v>0.92890847169951307</v>
      </c>
      <c r="C110" s="11">
        <f t="shared" si="72"/>
        <v>0.39865003988570352</v>
      </c>
      <c r="D110" s="11">
        <f t="shared" si="73"/>
        <v>25.33155</v>
      </c>
      <c r="E110" s="11">
        <f t="shared" si="74"/>
        <v>0.9038470874092992</v>
      </c>
      <c r="F110" s="11">
        <f t="shared" si="75"/>
        <v>0.47337170062696354</v>
      </c>
      <c r="G110" s="11">
        <f t="shared" si="79"/>
        <v>0.79999999999999993</v>
      </c>
      <c r="H110" s="11">
        <f t="shared" si="76"/>
        <v>0.26014705087354439</v>
      </c>
      <c r="I110" s="11">
        <f t="shared" si="77"/>
        <v>1.051345273618655</v>
      </c>
      <c r="J110" s="11">
        <f t="shared" si="78"/>
        <v>0.90355605293923291</v>
      </c>
    </row>
    <row r="111" spans="1:10" ht="18.75" x14ac:dyDescent="0.25">
      <c r="A111" s="11">
        <f t="shared" si="70"/>
        <v>21.7347</v>
      </c>
      <c r="B111" s="11">
        <f t="shared" si="71"/>
        <v>0.92890847169951307</v>
      </c>
      <c r="C111" s="11">
        <f t="shared" si="72"/>
        <v>0.39865003988570352</v>
      </c>
      <c r="D111" s="11">
        <f t="shared" si="73"/>
        <v>25.33155</v>
      </c>
      <c r="E111" s="11">
        <f t="shared" si="74"/>
        <v>0.9038470874092992</v>
      </c>
      <c r="F111" s="11">
        <f t="shared" si="75"/>
        <v>0.47337170062696354</v>
      </c>
      <c r="G111" s="11">
        <f t="shared" si="79"/>
        <v>0.89999999999999991</v>
      </c>
      <c r="H111" s="11">
        <f t="shared" si="76"/>
        <v>0.13178210632763543</v>
      </c>
      <c r="I111" s="11">
        <f t="shared" si="77"/>
        <v>1.1197455961427434</v>
      </c>
      <c r="J111" s="11">
        <f t="shared" si="78"/>
        <v>0.95440702120372822</v>
      </c>
    </row>
    <row r="112" spans="1:10" ht="18.75" x14ac:dyDescent="0.25">
      <c r="A112" s="11">
        <f t="shared" si="70"/>
        <v>21.7347</v>
      </c>
      <c r="B112" s="11">
        <f t="shared" si="71"/>
        <v>0.92890847169951307</v>
      </c>
      <c r="C112" s="11">
        <f t="shared" si="72"/>
        <v>0.39865003988570352</v>
      </c>
      <c r="D112" s="11">
        <f t="shared" si="73"/>
        <v>25.33155</v>
      </c>
      <c r="E112" s="11">
        <f t="shared" si="74"/>
        <v>0.9038470874092992</v>
      </c>
      <c r="F112" s="11">
        <f t="shared" si="75"/>
        <v>0.47337170062696354</v>
      </c>
      <c r="G112" s="11">
        <f t="shared" si="79"/>
        <v>0.99999999999999989</v>
      </c>
      <c r="H112" s="11">
        <f>0.5*(1-4*G112+SQRT(8*G112+1))</f>
        <v>2.2204460492503131E-16</v>
      </c>
      <c r="I112" s="11">
        <f t="shared" si="77"/>
        <v>1.1874367321339871</v>
      </c>
      <c r="J112" s="11">
        <f t="shared" si="78"/>
        <v>1</v>
      </c>
    </row>
    <row r="114" spans="1:10" ht="18.75" x14ac:dyDescent="0.3">
      <c r="A114" s="23">
        <v>5.2</v>
      </c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ht="18.75" x14ac:dyDescent="0.25">
      <c r="A115" s="11" t="s">
        <v>26</v>
      </c>
      <c r="B115" s="11" t="s">
        <v>27</v>
      </c>
      <c r="C115" s="11" t="s">
        <v>28</v>
      </c>
      <c r="D115" s="11" t="s">
        <v>29</v>
      </c>
      <c r="E115" s="11" t="s">
        <v>30</v>
      </c>
      <c r="F115" s="11" t="s">
        <v>31</v>
      </c>
      <c r="G115" s="11" t="s">
        <v>32</v>
      </c>
      <c r="H115" s="11" t="s">
        <v>33</v>
      </c>
      <c r="I115" s="11" t="s">
        <v>7</v>
      </c>
      <c r="J115" s="16" t="s">
        <v>34</v>
      </c>
    </row>
    <row r="116" spans="1:10" ht="18.75" x14ac:dyDescent="0.25">
      <c r="A116" s="11">
        <f>44.7526/2</f>
        <v>22.376300000000001</v>
      </c>
      <c r="B116" s="11">
        <f>COS(RADIANS(A116))</f>
        <v>0.92470358161880217</v>
      </c>
      <c r="C116" s="11">
        <f>TAN(RADIANS(A116))</f>
        <v>0.41168642503669034</v>
      </c>
      <c r="D116" s="11">
        <f>65.0893/2</f>
        <v>32.544649999999997</v>
      </c>
      <c r="E116" s="11">
        <f>COS(RADIANS(D116))</f>
        <v>0.84297247781372253</v>
      </c>
      <c r="F116" s="11">
        <f>TAN(RADIANS(D116))</f>
        <v>0.63816637600554227</v>
      </c>
      <c r="G116" s="11">
        <v>0</v>
      </c>
      <c r="H116" s="11">
        <f>0.5*(1-4*G116+SQRT(8*G116+1))</f>
        <v>1</v>
      </c>
      <c r="I116" s="11">
        <f>(((0.5*(B116/E116)*H116+2*G116*(F116/C116)))^2)/(0.5*(B116/E116)*H116+4*G116*(F116/C116))</f>
        <v>0.54847791947908664</v>
      </c>
      <c r="J116" s="11">
        <f>(G116*(TAN(RADIANS(D116))/TAN(RADIANS(A116))))/I116</f>
        <v>0</v>
      </c>
    </row>
    <row r="117" spans="1:10" ht="18.75" x14ac:dyDescent="0.25">
      <c r="A117" s="11">
        <f t="shared" ref="A117:A126" si="80">44.7526/2</f>
        <v>22.376300000000001</v>
      </c>
      <c r="B117" s="11">
        <f t="shared" ref="B117:B126" si="81">COS(RADIANS(A117))</f>
        <v>0.92470358161880217</v>
      </c>
      <c r="C117" s="11">
        <f t="shared" ref="C117:C126" si="82">TAN(RADIANS(A117))</f>
        <v>0.41168642503669034</v>
      </c>
      <c r="D117" s="11">
        <f t="shared" ref="D117:D126" si="83">65.0893/2</f>
        <v>32.544649999999997</v>
      </c>
      <c r="E117" s="11">
        <f t="shared" ref="E117:E126" si="84">COS(RADIANS(D117))</f>
        <v>0.84297247781372253</v>
      </c>
      <c r="F117" s="11">
        <f t="shared" ref="F117:F126" si="85">TAN(RADIANS(D117))</f>
        <v>0.63816637600554227</v>
      </c>
      <c r="G117" s="11">
        <f>G116+0.1</f>
        <v>0.1</v>
      </c>
      <c r="H117" s="11">
        <f t="shared" ref="H117:H125" si="86">0.5*(1-4*G117+SQRT(8*G117+1))</f>
        <v>0.97082039324993685</v>
      </c>
      <c r="I117" s="11">
        <f t="shared" ref="I117:I126" si="87">(((0.5*(B117/E117)*H117+2*G117*(F117/C117)))^2)/(0.5*(B117/E117)*H117+4*G117*(F117/C117))</f>
        <v>0.61586942565134228</v>
      </c>
      <c r="J117" s="11">
        <f t="shared" ref="J117:J126" si="88">(G117*(TAN(RADIANS(D117))/TAN(RADIANS(A117))))/I117</f>
        <v>0.25169739859664686</v>
      </c>
    </row>
    <row r="118" spans="1:10" ht="18.75" x14ac:dyDescent="0.25">
      <c r="A118" s="11">
        <f t="shared" si="80"/>
        <v>22.376300000000001</v>
      </c>
      <c r="B118" s="11">
        <f t="shared" si="81"/>
        <v>0.92470358161880217</v>
      </c>
      <c r="C118" s="11">
        <f t="shared" si="82"/>
        <v>0.41168642503669034</v>
      </c>
      <c r="D118" s="11">
        <f t="shared" si="83"/>
        <v>32.544649999999997</v>
      </c>
      <c r="E118" s="11">
        <f t="shared" si="84"/>
        <v>0.84297247781372253</v>
      </c>
      <c r="F118" s="11">
        <f t="shared" si="85"/>
        <v>0.63816637600554227</v>
      </c>
      <c r="G118" s="11">
        <f t="shared" ref="G118:G126" si="89">G117+0.1</f>
        <v>0.2</v>
      </c>
      <c r="H118" s="11">
        <f t="shared" si="86"/>
        <v>0.906225774829855</v>
      </c>
      <c r="I118" s="11">
        <f t="shared" si="87"/>
        <v>0.71836359006965378</v>
      </c>
      <c r="J118" s="11">
        <f t="shared" si="88"/>
        <v>0.43157179582730121</v>
      </c>
    </row>
    <row r="119" spans="1:10" ht="18.75" x14ac:dyDescent="0.25">
      <c r="A119" s="11">
        <f t="shared" si="80"/>
        <v>22.376300000000001</v>
      </c>
      <c r="B119" s="11">
        <f t="shared" si="81"/>
        <v>0.92470358161880217</v>
      </c>
      <c r="C119" s="11">
        <f t="shared" si="82"/>
        <v>0.41168642503669034</v>
      </c>
      <c r="D119" s="11">
        <f t="shared" si="83"/>
        <v>32.544649999999997</v>
      </c>
      <c r="E119" s="11">
        <f t="shared" si="84"/>
        <v>0.84297247781372253</v>
      </c>
      <c r="F119" s="11">
        <f t="shared" si="85"/>
        <v>0.63816637600554227</v>
      </c>
      <c r="G119" s="11">
        <f t="shared" si="89"/>
        <v>0.30000000000000004</v>
      </c>
      <c r="H119" s="11">
        <f t="shared" si="86"/>
        <v>0.82195444572928866</v>
      </c>
      <c r="I119" s="11">
        <f t="shared" si="87"/>
        <v>0.82514270377026799</v>
      </c>
      <c r="J119" s="11">
        <f t="shared" si="88"/>
        <v>0.56358517721855195</v>
      </c>
    </row>
    <row r="120" spans="1:10" ht="18.75" x14ac:dyDescent="0.25">
      <c r="A120" s="11">
        <f t="shared" si="80"/>
        <v>22.376300000000001</v>
      </c>
      <c r="B120" s="11">
        <f t="shared" si="81"/>
        <v>0.92470358161880217</v>
      </c>
      <c r="C120" s="11">
        <f t="shared" si="82"/>
        <v>0.41168642503669034</v>
      </c>
      <c r="D120" s="11">
        <f t="shared" si="83"/>
        <v>32.544649999999997</v>
      </c>
      <c r="E120" s="11">
        <f t="shared" si="84"/>
        <v>0.84297247781372253</v>
      </c>
      <c r="F120" s="11">
        <f t="shared" si="85"/>
        <v>0.63816637600554227</v>
      </c>
      <c r="G120" s="11">
        <f t="shared" si="89"/>
        <v>0.4</v>
      </c>
      <c r="H120" s="11">
        <f t="shared" si="86"/>
        <v>0.72469507659595989</v>
      </c>
      <c r="I120" s="11">
        <f t="shared" si="87"/>
        <v>0.93188579585142295</v>
      </c>
      <c r="J120" s="11">
        <f t="shared" si="88"/>
        <v>0.66537222909391192</v>
      </c>
    </row>
    <row r="121" spans="1:10" ht="18.75" x14ac:dyDescent="0.25">
      <c r="A121" s="11">
        <f t="shared" si="80"/>
        <v>22.376300000000001</v>
      </c>
      <c r="B121" s="11">
        <f t="shared" si="81"/>
        <v>0.92470358161880217</v>
      </c>
      <c r="C121" s="11">
        <f t="shared" si="82"/>
        <v>0.41168642503669034</v>
      </c>
      <c r="D121" s="11">
        <f t="shared" si="83"/>
        <v>32.544649999999997</v>
      </c>
      <c r="E121" s="11">
        <f t="shared" si="84"/>
        <v>0.84297247781372253</v>
      </c>
      <c r="F121" s="11">
        <f t="shared" si="85"/>
        <v>0.63816637600554227</v>
      </c>
      <c r="G121" s="11">
        <f t="shared" si="89"/>
        <v>0.5</v>
      </c>
      <c r="H121" s="11">
        <f t="shared" si="86"/>
        <v>0.6180339887498949</v>
      </c>
      <c r="I121" s="11">
        <f t="shared" si="87"/>
        <v>1.0376497547039276</v>
      </c>
      <c r="J121" s="11">
        <f t="shared" si="88"/>
        <v>0.74694149740286686</v>
      </c>
    </row>
    <row r="122" spans="1:10" ht="18.75" x14ac:dyDescent="0.25">
      <c r="A122" s="11">
        <f t="shared" si="80"/>
        <v>22.376300000000001</v>
      </c>
      <c r="B122" s="11">
        <f t="shared" si="81"/>
        <v>0.92470358161880217</v>
      </c>
      <c r="C122" s="11">
        <f t="shared" si="82"/>
        <v>0.41168642503669034</v>
      </c>
      <c r="D122" s="11">
        <f t="shared" si="83"/>
        <v>32.544649999999997</v>
      </c>
      <c r="E122" s="11">
        <f t="shared" si="84"/>
        <v>0.84297247781372253</v>
      </c>
      <c r="F122" s="11">
        <f t="shared" si="85"/>
        <v>0.63816637600554227</v>
      </c>
      <c r="G122" s="11">
        <f t="shared" si="89"/>
        <v>0.6</v>
      </c>
      <c r="H122" s="11">
        <f t="shared" si="86"/>
        <v>0.50415945787922967</v>
      </c>
      <c r="I122" s="11">
        <f t="shared" si="87"/>
        <v>1.1422494053378898</v>
      </c>
      <c r="J122" s="11">
        <f t="shared" si="88"/>
        <v>0.81424983854099386</v>
      </c>
    </row>
    <row r="123" spans="1:10" ht="18.75" x14ac:dyDescent="0.25">
      <c r="A123" s="11">
        <f t="shared" si="80"/>
        <v>22.376300000000001</v>
      </c>
      <c r="B123" s="11">
        <f t="shared" si="81"/>
        <v>0.92470358161880217</v>
      </c>
      <c r="C123" s="11">
        <f t="shared" si="82"/>
        <v>0.41168642503669034</v>
      </c>
      <c r="D123" s="11">
        <f t="shared" si="83"/>
        <v>32.544649999999997</v>
      </c>
      <c r="E123" s="11">
        <f t="shared" si="84"/>
        <v>0.84297247781372253</v>
      </c>
      <c r="F123" s="11">
        <f t="shared" si="85"/>
        <v>0.63816637600554227</v>
      </c>
      <c r="G123" s="11">
        <f t="shared" si="89"/>
        <v>0.7</v>
      </c>
      <c r="H123" s="11">
        <f t="shared" si="86"/>
        <v>0.38452325786651298</v>
      </c>
      <c r="I123" s="11">
        <f t="shared" si="87"/>
        <v>1.2457092864388488</v>
      </c>
      <c r="J123" s="11">
        <f t="shared" si="88"/>
        <v>0.8710612805043445</v>
      </c>
    </row>
    <row r="124" spans="1:10" ht="18.75" x14ac:dyDescent="0.25">
      <c r="A124" s="11">
        <f t="shared" si="80"/>
        <v>22.376300000000001</v>
      </c>
      <c r="B124" s="11">
        <f t="shared" si="81"/>
        <v>0.92470358161880217</v>
      </c>
      <c r="C124" s="11">
        <f t="shared" si="82"/>
        <v>0.41168642503669034</v>
      </c>
      <c r="D124" s="11">
        <f t="shared" si="83"/>
        <v>32.544649999999997</v>
      </c>
      <c r="E124" s="11">
        <f t="shared" si="84"/>
        <v>0.84297247781372253</v>
      </c>
      <c r="F124" s="11">
        <f t="shared" si="85"/>
        <v>0.63816637600554227</v>
      </c>
      <c r="G124" s="11">
        <f t="shared" si="89"/>
        <v>0.79999999999999993</v>
      </c>
      <c r="H124" s="11">
        <f t="shared" si="86"/>
        <v>0.26014705087354439</v>
      </c>
      <c r="I124" s="11">
        <f t="shared" si="87"/>
        <v>1.3481129280870985</v>
      </c>
      <c r="J124" s="11">
        <f t="shared" si="88"/>
        <v>0.91987980580593509</v>
      </c>
    </row>
    <row r="125" spans="1:10" ht="18.75" x14ac:dyDescent="0.25">
      <c r="A125" s="11">
        <f t="shared" si="80"/>
        <v>22.376300000000001</v>
      </c>
      <c r="B125" s="11">
        <f t="shared" si="81"/>
        <v>0.92470358161880217</v>
      </c>
      <c r="C125" s="11">
        <f t="shared" si="82"/>
        <v>0.41168642503669034</v>
      </c>
      <c r="D125" s="11">
        <f t="shared" si="83"/>
        <v>32.544649999999997</v>
      </c>
      <c r="E125" s="11">
        <f t="shared" si="84"/>
        <v>0.84297247781372253</v>
      </c>
      <c r="F125" s="11">
        <f t="shared" si="85"/>
        <v>0.63816637600554227</v>
      </c>
      <c r="G125" s="11">
        <f t="shared" si="89"/>
        <v>0.89999999999999991</v>
      </c>
      <c r="H125" s="11">
        <f t="shared" si="86"/>
        <v>0.13178210632763543</v>
      </c>
      <c r="I125" s="11">
        <f t="shared" si="87"/>
        <v>1.4495553258214009</v>
      </c>
      <c r="J125" s="11">
        <f t="shared" si="88"/>
        <v>0.96244314787663099</v>
      </c>
    </row>
    <row r="126" spans="1:10" ht="18.75" x14ac:dyDescent="0.25">
      <c r="A126" s="11">
        <f t="shared" si="80"/>
        <v>22.376300000000001</v>
      </c>
      <c r="B126" s="11">
        <f t="shared" si="81"/>
        <v>0.92470358161880217</v>
      </c>
      <c r="C126" s="11">
        <f t="shared" si="82"/>
        <v>0.41168642503669034</v>
      </c>
      <c r="D126" s="11">
        <f t="shared" si="83"/>
        <v>32.544649999999997</v>
      </c>
      <c r="E126" s="11">
        <f t="shared" si="84"/>
        <v>0.84297247781372253</v>
      </c>
      <c r="F126" s="11">
        <f t="shared" si="85"/>
        <v>0.63816637600554227</v>
      </c>
      <c r="G126" s="11">
        <f t="shared" si="89"/>
        <v>0.99999999999999989</v>
      </c>
      <c r="H126" s="11">
        <f>0.5*(1-4*G126+SQRT(8*G126+1))</f>
        <v>2.2204460492503131E-16</v>
      </c>
      <c r="I126" s="11">
        <f t="shared" si="87"/>
        <v>1.5501273231165382</v>
      </c>
      <c r="J126" s="11">
        <f t="shared" si="88"/>
        <v>1</v>
      </c>
    </row>
  </sheetData>
  <mergeCells count="9">
    <mergeCell ref="A72:J72"/>
    <mergeCell ref="A86:J86"/>
    <mergeCell ref="A100:J100"/>
    <mergeCell ref="A114:J114"/>
    <mergeCell ref="A1:J1"/>
    <mergeCell ref="A15:J15"/>
    <mergeCell ref="A30:J30"/>
    <mergeCell ref="A44:J44"/>
    <mergeCell ref="A58:J5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ОКР</vt:lpstr>
      <vt:lpstr>Номограммы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Сидоров</dc:creator>
  <cp:lastModifiedBy>Никита Сидоров</cp:lastModifiedBy>
  <dcterms:created xsi:type="dcterms:W3CDTF">2018-06-04T08:48:03Z</dcterms:created>
  <dcterms:modified xsi:type="dcterms:W3CDTF">2018-06-07T12:04:49Z</dcterms:modified>
</cp:coreProperties>
</file>