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105" windowWidth="19155" windowHeight="8505" activeTab="5"/>
  </bookViews>
  <sheets>
    <sheet name="1 часть" sheetId="1" r:id="rId1"/>
    <sheet name="2 часть" sheetId="2" r:id="rId2"/>
    <sheet name="3 часть" sheetId="3" r:id="rId3"/>
    <sheet name="4 часть" sheetId="4" r:id="rId4"/>
    <sheet name="5 часть" sheetId="5" r:id="rId5"/>
    <sheet name="6 часть" sheetId="6" r:id="rId6"/>
  </sheets>
  <calcPr calcId="125725"/>
</workbook>
</file>

<file path=xl/calcChain.xml><?xml version="1.0" encoding="utf-8"?>
<calcChain xmlns="http://schemas.openxmlformats.org/spreadsheetml/2006/main">
  <c r="B34" i="4"/>
  <c r="M58" i="3" l="1"/>
  <c r="M57"/>
  <c r="J58"/>
  <c r="J57"/>
  <c r="J25" l="1"/>
  <c r="J24"/>
  <c r="G89" l="1"/>
  <c r="G8" i="1"/>
  <c r="E45" i="4"/>
  <c r="B45"/>
  <c r="J89" i="3" l="1"/>
  <c r="E22" i="6" l="1"/>
  <c r="E23"/>
  <c r="B23"/>
  <c r="B22"/>
  <c r="B26" s="1"/>
  <c r="B20" i="5" l="1"/>
  <c r="B19"/>
  <c r="N4" i="1"/>
  <c r="N3"/>
  <c r="B49" i="4"/>
  <c r="B31"/>
  <c r="E31" s="1"/>
  <c r="B29"/>
  <c r="B5" i="3"/>
  <c r="B4"/>
  <c r="B5" i="2" l="1"/>
  <c r="F5" s="1"/>
  <c r="B7" s="1"/>
  <c r="N7" i="1"/>
  <c r="F6"/>
  <c r="K4"/>
  <c r="J6"/>
  <c r="K3"/>
  <c r="E6" l="1"/>
  <c r="I6"/>
  <c r="D6"/>
  <c r="H6"/>
  <c r="C6"/>
  <c r="G6"/>
  <c r="B6"/>
  <c r="N6" l="1"/>
  <c r="N10" s="1"/>
  <c r="N11" s="1"/>
  <c r="K6"/>
  <c r="D8" l="1"/>
  <c r="F8"/>
  <c r="B8"/>
  <c r="I8"/>
  <c r="D14" s="1"/>
  <c r="C8"/>
  <c r="E8"/>
  <c r="H8"/>
  <c r="J8"/>
  <c r="E64" i="3"/>
  <c r="B77" l="1"/>
  <c r="B14" i="1"/>
  <c r="N13"/>
  <c r="N14" s="1"/>
  <c r="C14" s="1"/>
  <c r="K8"/>
  <c r="B65" i="3"/>
  <c r="A69"/>
  <c r="F14" i="1"/>
  <c r="E59" i="4"/>
  <c r="E2" i="5" l="1"/>
  <c r="E14" i="1"/>
  <c r="G90" i="3"/>
  <c r="E91"/>
  <c r="E90"/>
  <c r="G14" i="1" l="1"/>
  <c r="I39" i="4" s="1"/>
  <c r="E3" i="5" s="1"/>
  <c r="G91" i="3"/>
  <c r="B30"/>
  <c r="D28"/>
  <c r="C20"/>
  <c r="E11"/>
  <c r="F7" i="2"/>
  <c r="F6"/>
  <c r="B82" i="3" l="1"/>
  <c r="E9" i="4" s="1"/>
  <c r="E55" s="1"/>
  <c r="C15" i="1"/>
  <c r="E4" i="5" s="1"/>
  <c r="B63" i="3"/>
  <c r="E93"/>
  <c r="E92"/>
  <c r="B6" i="2"/>
  <c r="B9" s="1"/>
  <c r="F9" s="1"/>
  <c r="G15" i="1"/>
  <c r="D15"/>
  <c r="B15"/>
  <c r="F15"/>
  <c r="K4" i="5" s="1"/>
  <c r="E15" i="1"/>
  <c r="H4" i="5" s="1"/>
  <c r="G92" i="3"/>
  <c r="B8" i="2" l="1"/>
  <c r="F10"/>
  <c r="N16" i="1"/>
  <c r="B4" i="6" s="1"/>
  <c r="B10" i="2"/>
  <c r="C93" i="3"/>
  <c r="J93" s="1"/>
  <c r="G25" i="2"/>
  <c r="G20"/>
  <c r="G15"/>
  <c r="G31"/>
  <c r="G26"/>
  <c r="G21"/>
  <c r="G16"/>
  <c r="G32"/>
  <c r="G27"/>
  <c r="G22"/>
  <c r="G17"/>
  <c r="G33"/>
  <c r="G28"/>
  <c r="G23"/>
  <c r="G18"/>
  <c r="G34"/>
  <c r="G29"/>
  <c r="G24"/>
  <c r="G19"/>
  <c r="G14"/>
  <c r="G30"/>
  <c r="B4" i="5"/>
  <c r="H11" s="1"/>
  <c r="B20" i="3"/>
  <c r="B9"/>
  <c r="B14" s="1"/>
  <c r="B15" l="1"/>
  <c r="B24"/>
  <c r="B25" s="1"/>
  <c r="E24"/>
  <c r="I10" i="2"/>
  <c r="C33" s="1"/>
  <c r="D33" s="1"/>
  <c r="E33" s="1"/>
  <c r="H33" s="1"/>
  <c r="D93" i="3"/>
  <c r="A74"/>
  <c r="B74" s="1"/>
  <c r="B69"/>
  <c r="M24"/>
  <c r="I90"/>
  <c r="H10" i="5"/>
  <c r="A15" i="2"/>
  <c r="A16" s="1"/>
  <c r="B14"/>
  <c r="I89" i="3" l="1"/>
  <c r="E25"/>
  <c r="C15" i="2"/>
  <c r="D15" s="1"/>
  <c r="E15" s="1"/>
  <c r="H15" s="1"/>
  <c r="C24"/>
  <c r="D24" s="1"/>
  <c r="E24" s="1"/>
  <c r="H24" s="1"/>
  <c r="C23"/>
  <c r="D23" s="1"/>
  <c r="F23" s="1"/>
  <c r="L23" s="1"/>
  <c r="C34"/>
  <c r="D34" s="1"/>
  <c r="E34" s="1"/>
  <c r="H34" s="1"/>
  <c r="C16"/>
  <c r="D16" s="1"/>
  <c r="E16" s="1"/>
  <c r="H16" s="1"/>
  <c r="C18"/>
  <c r="D18" s="1"/>
  <c r="C30"/>
  <c r="D30" s="1"/>
  <c r="E30" s="1"/>
  <c r="H30" s="1"/>
  <c r="C20"/>
  <c r="D20" s="1"/>
  <c r="E20" s="1"/>
  <c r="H20" s="1"/>
  <c r="C19"/>
  <c r="D19" s="1"/>
  <c r="C31"/>
  <c r="D31" s="1"/>
  <c r="F31" s="1"/>
  <c r="L31" s="1"/>
  <c r="C29"/>
  <c r="D29" s="1"/>
  <c r="E29" s="1"/>
  <c r="K29" s="1"/>
  <c r="C25"/>
  <c r="D25" s="1"/>
  <c r="F25" s="1"/>
  <c r="N25" s="1"/>
  <c r="F91" i="3" s="1"/>
  <c r="C28" i="2"/>
  <c r="D28" s="1"/>
  <c r="F28" s="1"/>
  <c r="L28" s="1"/>
  <c r="C21"/>
  <c r="D21" s="1"/>
  <c r="E21" s="1"/>
  <c r="H21" s="1"/>
  <c r="C32"/>
  <c r="D32" s="1"/>
  <c r="F32" s="1"/>
  <c r="L32" s="1"/>
  <c r="C27"/>
  <c r="D27" s="1"/>
  <c r="E27" s="1"/>
  <c r="H27" s="1"/>
  <c r="C22"/>
  <c r="D22" s="1"/>
  <c r="E22" s="1"/>
  <c r="H22" s="1"/>
  <c r="C26"/>
  <c r="D26" s="1"/>
  <c r="E26" s="1"/>
  <c r="H26" s="1"/>
  <c r="C14"/>
  <c r="D14" s="1"/>
  <c r="E14" s="1"/>
  <c r="H14" s="1"/>
  <c r="C17"/>
  <c r="D17" s="1"/>
  <c r="F17" s="1"/>
  <c r="L17" s="1"/>
  <c r="F33"/>
  <c r="L33" s="1"/>
  <c r="D26" i="3"/>
  <c r="B29" s="1"/>
  <c r="A34" s="1"/>
  <c r="B34" s="1"/>
  <c r="N31" i="2"/>
  <c r="J24"/>
  <c r="J33"/>
  <c r="K24"/>
  <c r="O31"/>
  <c r="K33"/>
  <c r="M31"/>
  <c r="I33"/>
  <c r="I16"/>
  <c r="I24"/>
  <c r="F16"/>
  <c r="L16" s="1"/>
  <c r="M25" i="3"/>
  <c r="I92"/>
  <c r="I91"/>
  <c r="E18" i="2"/>
  <c r="H18" s="1"/>
  <c r="F18"/>
  <c r="L18" s="1"/>
  <c r="F24"/>
  <c r="L24" s="1"/>
  <c r="F15"/>
  <c r="L15" s="1"/>
  <c r="E19"/>
  <c r="H19" s="1"/>
  <c r="F19"/>
  <c r="L19" s="1"/>
  <c r="B16"/>
  <c r="A17"/>
  <c r="B15"/>
  <c r="I14" l="1"/>
  <c r="K16"/>
  <c r="J16"/>
  <c r="F20"/>
  <c r="L20" s="1"/>
  <c r="I22"/>
  <c r="F34"/>
  <c r="L34" s="1"/>
  <c r="E25"/>
  <c r="H25" s="1"/>
  <c r="I27"/>
  <c r="K27"/>
  <c r="J27"/>
  <c r="F30"/>
  <c r="L30" s="1"/>
  <c r="J22"/>
  <c r="F14"/>
  <c r="L14" s="1"/>
  <c r="N23"/>
  <c r="F29"/>
  <c r="L29" s="1"/>
  <c r="M23"/>
  <c r="O23"/>
  <c r="E23"/>
  <c r="H23" s="1"/>
  <c r="E31"/>
  <c r="H31" s="1"/>
  <c r="M28"/>
  <c r="K22"/>
  <c r="N28"/>
  <c r="E28"/>
  <c r="H28" s="1"/>
  <c r="O28"/>
  <c r="F92" i="3" s="1"/>
  <c r="J21" i="2"/>
  <c r="F21"/>
  <c r="L21" s="1"/>
  <c r="K21"/>
  <c r="F22"/>
  <c r="L22" s="1"/>
  <c r="I26"/>
  <c r="I23"/>
  <c r="I21"/>
  <c r="F26"/>
  <c r="L26" s="1"/>
  <c r="K26"/>
  <c r="J26"/>
  <c r="E32"/>
  <c r="H32" s="1"/>
  <c r="N32"/>
  <c r="F27"/>
  <c r="L27" s="1"/>
  <c r="M32"/>
  <c r="O32"/>
  <c r="M17"/>
  <c r="O17"/>
  <c r="E17"/>
  <c r="N17"/>
  <c r="N33"/>
  <c r="K19"/>
  <c r="M33"/>
  <c r="O33"/>
  <c r="N14"/>
  <c r="J20"/>
  <c r="O24"/>
  <c r="N24"/>
  <c r="I34"/>
  <c r="M16"/>
  <c r="K30"/>
  <c r="I18"/>
  <c r="J18"/>
  <c r="I30"/>
  <c r="I19"/>
  <c r="I29"/>
  <c r="B58" i="3" s="1"/>
  <c r="K18" i="2"/>
  <c r="O18"/>
  <c r="K15"/>
  <c r="O20"/>
  <c r="K14"/>
  <c r="J19"/>
  <c r="J34"/>
  <c r="M25"/>
  <c r="E58" i="3" s="1"/>
  <c r="M15" i="2"/>
  <c r="O15"/>
  <c r="K34"/>
  <c r="O19"/>
  <c r="K20"/>
  <c r="O25"/>
  <c r="J30"/>
  <c r="N18"/>
  <c r="N15"/>
  <c r="H92" i="3"/>
  <c r="H29" i="2"/>
  <c r="B57" i="3" s="1"/>
  <c r="H89" s="1"/>
  <c r="L25" i="2"/>
  <c r="E57" i="3" s="1"/>
  <c r="F89" s="1"/>
  <c r="I15" i="2"/>
  <c r="I20"/>
  <c r="M24"/>
  <c r="F90" i="3" s="1"/>
  <c r="C12" i="4" s="1"/>
  <c r="M18" i="2"/>
  <c r="M19"/>
  <c r="O16"/>
  <c r="J29"/>
  <c r="H91" i="3" s="1"/>
  <c r="N16" i="2"/>
  <c r="J15"/>
  <c r="J14"/>
  <c r="N19"/>
  <c r="C34" i="3"/>
  <c r="B37" s="1"/>
  <c r="L26"/>
  <c r="D34"/>
  <c r="A18" i="2"/>
  <c r="B17"/>
  <c r="M21" l="1"/>
  <c r="M34"/>
  <c r="O34"/>
  <c r="M20"/>
  <c r="N20"/>
  <c r="B32" i="4"/>
  <c r="J23" i="2"/>
  <c r="N34"/>
  <c r="J31"/>
  <c r="N29"/>
  <c r="J25"/>
  <c r="I25"/>
  <c r="M30"/>
  <c r="N30"/>
  <c r="I32"/>
  <c r="O29"/>
  <c r="K25"/>
  <c r="I31"/>
  <c r="O30"/>
  <c r="K31"/>
  <c r="M29"/>
  <c r="J28"/>
  <c r="K32"/>
  <c r="J32"/>
  <c r="O14"/>
  <c r="M14"/>
  <c r="K23"/>
  <c r="I28"/>
  <c r="H90" i="3" s="1"/>
  <c r="C33" i="4" s="1"/>
  <c r="K28" i="2"/>
  <c r="O22"/>
  <c r="N22"/>
  <c r="M22"/>
  <c r="O21"/>
  <c r="N21"/>
  <c r="N26"/>
  <c r="M26"/>
  <c r="O26"/>
  <c r="N27"/>
  <c r="O27"/>
  <c r="M27"/>
  <c r="H17"/>
  <c r="K17"/>
  <c r="I17"/>
  <c r="J17"/>
  <c r="B38" i="3"/>
  <c r="B39" s="1"/>
  <c r="B47" s="1"/>
  <c r="B48" s="1"/>
  <c r="B18" i="2"/>
  <c r="A19"/>
  <c r="A43" i="3" l="1"/>
  <c r="B43" s="1"/>
  <c r="L28" s="1"/>
  <c r="C90"/>
  <c r="J90" s="1"/>
  <c r="C91"/>
  <c r="J91" s="1"/>
  <c r="D90"/>
  <c r="D91"/>
  <c r="A53"/>
  <c r="B53" s="1"/>
  <c r="J30"/>
  <c r="A20" i="2"/>
  <c r="B19"/>
  <c r="D45" i="3" l="1"/>
  <c r="C46" s="1"/>
  <c r="E53"/>
  <c r="E54" s="1"/>
  <c r="J29"/>
  <c r="I34" s="1"/>
  <c r="B20" i="2"/>
  <c r="A21"/>
  <c r="E55" i="3" l="1"/>
  <c r="B91" s="1"/>
  <c r="L34"/>
  <c r="J34"/>
  <c r="K34"/>
  <c r="A22" i="2"/>
  <c r="B21"/>
  <c r="B90" i="3" l="1"/>
  <c r="J37"/>
  <c r="J38" s="1"/>
  <c r="J39" s="1"/>
  <c r="B22" i="2"/>
  <c r="A23"/>
  <c r="C92" i="3" l="1"/>
  <c r="J92" s="1"/>
  <c r="J47"/>
  <c r="B64" s="1"/>
  <c r="I43"/>
  <c r="J43" s="1"/>
  <c r="A24" i="2"/>
  <c r="B23"/>
  <c r="E69" i="3" l="1"/>
  <c r="L45"/>
  <c r="L46" s="1"/>
  <c r="J48"/>
  <c r="B24" i="2"/>
  <c r="A25"/>
  <c r="R15" l="1"/>
  <c r="R19"/>
  <c r="R23"/>
  <c r="R27"/>
  <c r="R31"/>
  <c r="R14"/>
  <c r="Q18"/>
  <c r="Q22"/>
  <c r="Q26"/>
  <c r="Q30"/>
  <c r="Q34"/>
  <c r="P16"/>
  <c r="P20"/>
  <c r="P24"/>
  <c r="P28"/>
  <c r="B78" i="3" s="1"/>
  <c r="H93" s="1"/>
  <c r="P32" i="2"/>
  <c r="R21"/>
  <c r="R33"/>
  <c r="Q20"/>
  <c r="Q28"/>
  <c r="B79" i="3" s="1"/>
  <c r="G93" s="1"/>
  <c r="P18" i="2"/>
  <c r="P26"/>
  <c r="R18"/>
  <c r="R22"/>
  <c r="R26"/>
  <c r="R30"/>
  <c r="R34"/>
  <c r="Q17"/>
  <c r="Q21"/>
  <c r="Q25"/>
  <c r="Q29"/>
  <c r="Q33"/>
  <c r="P15"/>
  <c r="P19"/>
  <c r="P23"/>
  <c r="P27"/>
  <c r="P31"/>
  <c r="R17"/>
  <c r="R29"/>
  <c r="Q24"/>
  <c r="P14"/>
  <c r="P30"/>
  <c r="R16"/>
  <c r="R20"/>
  <c r="R24"/>
  <c r="R28"/>
  <c r="B80" i="3" s="1"/>
  <c r="F93" s="1"/>
  <c r="R32" i="2"/>
  <c r="Q15"/>
  <c r="Q19"/>
  <c r="Q23"/>
  <c r="Q27"/>
  <c r="Q31"/>
  <c r="Q14"/>
  <c r="P17"/>
  <c r="P21"/>
  <c r="P25"/>
  <c r="P29"/>
  <c r="P33"/>
  <c r="R25"/>
  <c r="Q16"/>
  <c r="Q32"/>
  <c r="P22"/>
  <c r="P34"/>
  <c r="I93" i="3"/>
  <c r="D92"/>
  <c r="I53"/>
  <c r="J53" s="1"/>
  <c r="A26" i="2"/>
  <c r="B25"/>
  <c r="E32" i="4" l="1"/>
  <c r="E58" s="1"/>
  <c r="M53" i="3"/>
  <c r="M54" s="1"/>
  <c r="M55" s="1"/>
  <c r="B92" s="1"/>
  <c r="E74"/>
  <c r="E75" s="1"/>
  <c r="E76" s="1"/>
  <c r="B26" i="2"/>
  <c r="A27"/>
  <c r="B13" i="4" l="1"/>
  <c r="B93" i="3"/>
  <c r="H60"/>
  <c r="B81" s="1"/>
  <c r="B83" s="1"/>
  <c r="B84" s="1"/>
  <c r="A28" i="2"/>
  <c r="B27"/>
  <c r="B3" i="6" l="1"/>
  <c r="B10" s="1"/>
  <c r="E11" s="1"/>
  <c r="B14" i="4"/>
  <c r="B5"/>
  <c r="B6" s="1"/>
  <c r="E6" s="1"/>
  <c r="B57" s="1"/>
  <c r="B2"/>
  <c r="B3"/>
  <c r="A38"/>
  <c r="C38" s="1"/>
  <c r="H2" i="5"/>
  <c r="B13" s="1"/>
  <c r="B14" s="1"/>
  <c r="B28" i="2"/>
  <c r="A29"/>
  <c r="E12" i="6" l="1"/>
  <c r="E10"/>
  <c r="B15" i="4"/>
  <c r="E14"/>
  <c r="E15" s="1"/>
  <c r="E14" i="5"/>
  <c r="B38" i="4"/>
  <c r="F38"/>
  <c r="E38"/>
  <c r="D38"/>
  <c r="A30" i="2"/>
  <c r="B29"/>
  <c r="B18" i="4" l="1"/>
  <c r="B19" s="1"/>
  <c r="B21" s="1"/>
  <c r="E3" i="6"/>
  <c r="B41" i="4"/>
  <c r="E41" s="1"/>
  <c r="B30" i="2"/>
  <c r="A31"/>
  <c r="B14" i="6" l="1"/>
  <c r="B15" s="1"/>
  <c r="E19" i="4"/>
  <c r="E21" s="1"/>
  <c r="B22" s="1"/>
  <c r="A32" i="2"/>
  <c r="B31"/>
  <c r="E19" i="6" l="1"/>
  <c r="B25" i="4"/>
  <c r="E23"/>
  <c r="B23"/>
  <c r="B26" s="1"/>
  <c r="B27" s="1"/>
  <c r="B32" i="2"/>
  <c r="A33"/>
  <c r="B50" i="4" l="1"/>
  <c r="H19" i="6"/>
  <c r="E16"/>
  <c r="E56" i="4"/>
  <c r="A34" i="2"/>
  <c r="B34" s="1"/>
  <c r="B33"/>
  <c r="E61" i="4" l="1"/>
  <c r="E57"/>
  <c r="B51" l="1"/>
  <c r="B55" s="1"/>
  <c r="B2" i="5" l="1"/>
  <c r="B56" i="4"/>
  <c r="B62" s="1"/>
  <c r="E60"/>
  <c r="E62" s="1"/>
  <c r="B2" i="6" l="1"/>
  <c r="E6" i="5"/>
  <c r="E2" i="6" s="1"/>
  <c r="C57" i="4"/>
  <c r="I53"/>
  <c r="B6" i="5"/>
  <c r="I54" i="4"/>
  <c r="I55" s="1"/>
  <c r="F55"/>
  <c r="F58"/>
  <c r="F59"/>
  <c r="F57"/>
  <c r="F61"/>
  <c r="F56"/>
  <c r="C55"/>
  <c r="C56"/>
  <c r="F60"/>
  <c r="B17" i="6" l="1"/>
  <c r="B18" s="1"/>
  <c r="B6"/>
  <c r="B7" s="1"/>
  <c r="C13" s="1"/>
  <c r="B23" i="5"/>
  <c r="B15"/>
  <c r="E15" s="1"/>
  <c r="B16" s="1"/>
  <c r="C62" i="4"/>
  <c r="F62"/>
  <c r="B17" i="5" l="1"/>
  <c r="B18" s="1"/>
  <c r="E18" s="1"/>
  <c r="B21" s="1"/>
  <c r="B22" s="1"/>
  <c r="B24" s="1"/>
  <c r="B25" s="1"/>
  <c r="H3" i="6"/>
  <c r="C8"/>
  <c r="B9" s="1"/>
  <c r="E15"/>
  <c r="B16" s="1"/>
  <c r="E18"/>
  <c r="H18" s="1"/>
  <c r="B19" s="1"/>
  <c r="B20" s="1"/>
  <c r="B26" i="5" l="1"/>
  <c r="E26" s="1"/>
  <c r="B11" i="6"/>
  <c r="B12"/>
  <c r="B28"/>
  <c r="E28" s="1"/>
  <c r="B27"/>
  <c r="E27" s="1"/>
  <c r="B29" l="1"/>
  <c r="B30"/>
  <c r="E30"/>
  <c r="D31" l="1"/>
</calcChain>
</file>

<file path=xl/sharedStrings.xml><?xml version="1.0" encoding="utf-8"?>
<sst xmlns="http://schemas.openxmlformats.org/spreadsheetml/2006/main" count="374" uniqueCount="326">
  <si>
    <t>прир</t>
  </si>
  <si>
    <t>H2</t>
  </si>
  <si>
    <t>CO</t>
  </si>
  <si>
    <t>CH4</t>
  </si>
  <si>
    <t>C2H4</t>
  </si>
  <si>
    <t>CO2</t>
  </si>
  <si>
    <t>H2O</t>
  </si>
  <si>
    <t>N2</t>
  </si>
  <si>
    <t>O2</t>
  </si>
  <si>
    <t>H2S</t>
  </si>
  <si>
    <t>H2O=</t>
  </si>
  <si>
    <t>k=</t>
  </si>
  <si>
    <t>Σ</t>
  </si>
  <si>
    <t>Qприр=</t>
  </si>
  <si>
    <t>х(прир)=</t>
  </si>
  <si>
    <t>смесь</t>
  </si>
  <si>
    <t>L0=</t>
  </si>
  <si>
    <t>Lд=</t>
  </si>
  <si>
    <t>СO2</t>
  </si>
  <si>
    <t>SO2</t>
  </si>
  <si>
    <t>V</t>
  </si>
  <si>
    <t>%, об</t>
  </si>
  <si>
    <t>ρд=</t>
  </si>
  <si>
    <t>РАСЧЕТ ГОРЕНИЯ ТОПЛИВА</t>
  </si>
  <si>
    <t>РАСЧЕТ ПАРАМЕТРОВ ВНЕШНЕГО ТЕПЛООБМЕНА</t>
  </si>
  <si>
    <t>T</t>
  </si>
  <si>
    <t>T, K</t>
  </si>
  <si>
    <t>К</t>
  </si>
  <si>
    <t>Eг</t>
  </si>
  <si>
    <t>Сгм</t>
  </si>
  <si>
    <t>Скм</t>
  </si>
  <si>
    <t>Спм</t>
  </si>
  <si>
    <t>РАСЧЕТ РЕЖИМА НАГРЕВА МЕТАЛЛА</t>
  </si>
  <si>
    <t>σв=</t>
  </si>
  <si>
    <t>β=</t>
  </si>
  <si>
    <t>Е=</t>
  </si>
  <si>
    <r>
      <t>1/</t>
    </r>
    <r>
      <rPr>
        <sz val="11"/>
        <color theme="1"/>
        <rFont val="Calibri"/>
        <family val="2"/>
        <charset val="204"/>
      </rPr>
      <t>ᵒC</t>
    </r>
  </si>
  <si>
    <t>МПа</t>
  </si>
  <si>
    <t>Δtдоп=</t>
  </si>
  <si>
    <t>ᵒC</t>
  </si>
  <si>
    <t>λср=</t>
  </si>
  <si>
    <t>qдоп=</t>
  </si>
  <si>
    <t>tпч доп=</t>
  </si>
  <si>
    <t>Разобьем 1й период на два интервала:</t>
  </si>
  <si>
    <t>РАСЧЕТ ПЕРВОГО ИНТЕРВАЛА</t>
  </si>
  <si>
    <t>q1н=</t>
  </si>
  <si>
    <t>q1к=</t>
  </si>
  <si>
    <t>α1н=</t>
  </si>
  <si>
    <t>α1к=</t>
  </si>
  <si>
    <t>λср1=</t>
  </si>
  <si>
    <t>Bi1=</t>
  </si>
  <si>
    <t>Pцил</t>
  </si>
  <si>
    <t>Ацил</t>
  </si>
  <si>
    <t>tц1к=</t>
  </si>
  <si>
    <t>λ20=</t>
  </si>
  <si>
    <t>λ600=</t>
  </si>
  <si>
    <t>λ500=</t>
  </si>
  <si>
    <t>Δt1к=</t>
  </si>
  <si>
    <t>tср1к=</t>
  </si>
  <si>
    <t>ρ=</t>
  </si>
  <si>
    <r>
      <t>кг/см</t>
    </r>
    <r>
      <rPr>
        <vertAlign val="superscript"/>
        <sz val="11"/>
        <color rgb="FF000000"/>
        <rFont val="Arial"/>
        <family val="2"/>
        <charset val="204"/>
      </rPr>
      <t>3</t>
    </r>
  </si>
  <si>
    <t>τ1=</t>
  </si>
  <si>
    <t>ч</t>
  </si>
  <si>
    <t>tг1н=</t>
  </si>
  <si>
    <t>tг1к=</t>
  </si>
  <si>
    <t>tкл1н=</t>
  </si>
  <si>
    <t>tкл1к=</t>
  </si>
  <si>
    <t>РАСЧЕТ ВТОРОГО ИНТЕРВАЛА</t>
  </si>
  <si>
    <t>q2н=</t>
  </si>
  <si>
    <t>q2к=</t>
  </si>
  <si>
    <t>α2н=</t>
  </si>
  <si>
    <t>α2к=</t>
  </si>
  <si>
    <t>λср2=</t>
  </si>
  <si>
    <t>Bi2=</t>
  </si>
  <si>
    <t>tц2к=</t>
  </si>
  <si>
    <t>Δt2к=</t>
  </si>
  <si>
    <t>tср2к=</t>
  </si>
  <si>
    <t>аср2=</t>
  </si>
  <si>
    <t>τ2=</t>
  </si>
  <si>
    <t>tг2н=</t>
  </si>
  <si>
    <t>tг2к=</t>
  </si>
  <si>
    <t>tкл2н=</t>
  </si>
  <si>
    <t>tкл2к=</t>
  </si>
  <si>
    <t>ПЕРВЫЙ ПЕРИОД НАГРЕВА</t>
  </si>
  <si>
    <t>τ=</t>
  </si>
  <si>
    <t>G=</t>
  </si>
  <si>
    <t>tн</t>
  </si>
  <si>
    <t>tк</t>
  </si>
  <si>
    <t>tпч</t>
  </si>
  <si>
    <t>tц</t>
  </si>
  <si>
    <t>tср</t>
  </si>
  <si>
    <t>tп</t>
  </si>
  <si>
    <t>tкл</t>
  </si>
  <si>
    <t>tг</t>
  </si>
  <si>
    <t>w=</t>
  </si>
  <si>
    <t>Qнр=</t>
  </si>
  <si>
    <t>d=</t>
  </si>
  <si>
    <t>м</t>
  </si>
  <si>
    <t>l=</t>
  </si>
  <si>
    <t>L=</t>
  </si>
  <si>
    <t>B=Н=R=</t>
  </si>
  <si>
    <t>h=</t>
  </si>
  <si>
    <t>hср=</t>
  </si>
  <si>
    <t>Fкл=</t>
  </si>
  <si>
    <t>Fм=</t>
  </si>
  <si>
    <t>Число образцов</t>
  </si>
  <si>
    <t>Vпч=</t>
  </si>
  <si>
    <t>Vм=</t>
  </si>
  <si>
    <t>Sэф=</t>
  </si>
  <si>
    <t>ϕкм=ϕмм</t>
  </si>
  <si>
    <t>ϕмк=</t>
  </si>
  <si>
    <t>рсо2=</t>
  </si>
  <si>
    <t>рн2о=</t>
  </si>
  <si>
    <t>робщ=</t>
  </si>
  <si>
    <t>tковки=</t>
  </si>
  <si>
    <t>tпч=</t>
  </si>
  <si>
    <t>αср1=</t>
  </si>
  <si>
    <t>θп1к=</t>
  </si>
  <si>
    <t>μ*μ</t>
  </si>
  <si>
    <t>F01=</t>
  </si>
  <si>
    <t>θц1к=</t>
  </si>
  <si>
    <t>λ</t>
  </si>
  <si>
    <t>λ'ср1=</t>
  </si>
  <si>
    <r>
      <t xml:space="preserve">разница м/д </t>
    </r>
    <r>
      <rPr>
        <sz val="11"/>
        <color theme="1"/>
        <rFont val="Calibri"/>
        <family val="2"/>
        <charset val="204"/>
      </rPr>
      <t>λср1 и λ'ср1=</t>
    </r>
  </si>
  <si>
    <t>i</t>
  </si>
  <si>
    <t>i20=</t>
  </si>
  <si>
    <t>Cp1=</t>
  </si>
  <si>
    <t>acp1=</t>
  </si>
  <si>
    <t>tпч2=</t>
  </si>
  <si>
    <t>αср2=</t>
  </si>
  <si>
    <t>θп2к=</t>
  </si>
  <si>
    <t>F02=</t>
  </si>
  <si>
    <t>θц2к=</t>
  </si>
  <si>
    <t>λ'ср2=</t>
  </si>
  <si>
    <t>разница м/д λср2 и λ'ср2=</t>
  </si>
  <si>
    <t>i600=</t>
  </si>
  <si>
    <t>Cp2=</t>
  </si>
  <si>
    <t>τн=</t>
  </si>
  <si>
    <t>третий период нагрева</t>
  </si>
  <si>
    <t>Δtн=</t>
  </si>
  <si>
    <t>Δtк=</t>
  </si>
  <si>
    <t>tп=</t>
  </si>
  <si>
    <t>tср в=</t>
  </si>
  <si>
    <t>λср в=</t>
  </si>
  <si>
    <t>Cp в=</t>
  </si>
  <si>
    <t>ав=</t>
  </si>
  <si>
    <t>τв=</t>
  </si>
  <si>
    <t>qк=</t>
  </si>
  <si>
    <t>tг в=</t>
  </si>
  <si>
    <t>tпч в=</t>
  </si>
  <si>
    <t>tкл в=</t>
  </si>
  <si>
    <t>E=</t>
  </si>
  <si>
    <t>P=</t>
  </si>
  <si>
    <t>qпов</t>
  </si>
  <si>
    <t>Время</t>
  </si>
  <si>
    <t>С</t>
  </si>
  <si>
    <t>Вт/м*м</t>
  </si>
  <si>
    <t>Расчет теплового баланса</t>
  </si>
  <si>
    <t>Qт=</t>
  </si>
  <si>
    <t>*В</t>
  </si>
  <si>
    <t>tпср=</t>
  </si>
  <si>
    <t>τок=</t>
  </si>
  <si>
    <t>у=</t>
  </si>
  <si>
    <t>Qэкз=</t>
  </si>
  <si>
    <t>Расходные статьи теплового баланса</t>
  </si>
  <si>
    <t>Qм=</t>
  </si>
  <si>
    <r>
      <t xml:space="preserve">tср между </t>
    </r>
    <r>
      <rPr>
        <sz val="11"/>
        <color theme="1"/>
        <rFont val="Calibri"/>
        <family val="2"/>
        <charset val="204"/>
      </rPr>
      <t>τ1 и τ1</t>
    </r>
  </si>
  <si>
    <t>t'кл=</t>
  </si>
  <si>
    <t>&lt;t1&gt;=</t>
  </si>
  <si>
    <t>&lt;t2&gt;=</t>
  </si>
  <si>
    <t>λ1=</t>
  </si>
  <si>
    <t>λ2=</t>
  </si>
  <si>
    <t>S1=</t>
  </si>
  <si>
    <t>S2=</t>
  </si>
  <si>
    <t>qкл=</t>
  </si>
  <si>
    <t>расхождение в 10%, поэто производим перерасчет</t>
  </si>
  <si>
    <t>q=</t>
  </si>
  <si>
    <t>расхождение меньше 10%</t>
  </si>
  <si>
    <t>Qтепл=</t>
  </si>
  <si>
    <t>С=</t>
  </si>
  <si>
    <t>Qак=</t>
  </si>
  <si>
    <t>l(толщина)=</t>
  </si>
  <si>
    <t>b(ширина)=</t>
  </si>
  <si>
    <t>f=</t>
  </si>
  <si>
    <t>Ф=</t>
  </si>
  <si>
    <t>Qизл1=</t>
  </si>
  <si>
    <t>τ загрузки и выгрузки по</t>
  </si>
  <si>
    <t>мин</t>
  </si>
  <si>
    <t>Qизл2=</t>
  </si>
  <si>
    <t>tг среднее (1/1)=</t>
  </si>
  <si>
    <t>tух=</t>
  </si>
  <si>
    <t>C(h2o)</t>
  </si>
  <si>
    <t>C(co2)</t>
  </si>
  <si>
    <t>C(N2)</t>
  </si>
  <si>
    <t>C(o2)</t>
  </si>
  <si>
    <t>c(so2)</t>
  </si>
  <si>
    <t>Cух=</t>
  </si>
  <si>
    <t>Qух=</t>
  </si>
  <si>
    <t>Vд=</t>
  </si>
  <si>
    <t>Qп=</t>
  </si>
  <si>
    <t>кол-во подставок</t>
  </si>
  <si>
    <t>Qнеуч=</t>
  </si>
  <si>
    <t>В=</t>
  </si>
  <si>
    <t>статья</t>
  </si>
  <si>
    <t>приход теплоты</t>
  </si>
  <si>
    <t>Мдж</t>
  </si>
  <si>
    <t>%</t>
  </si>
  <si>
    <t>расход теплоты</t>
  </si>
  <si>
    <t>МДж</t>
  </si>
  <si>
    <t>Qт</t>
  </si>
  <si>
    <t>Qсрв</t>
  </si>
  <si>
    <t>Qэкз</t>
  </si>
  <si>
    <t>Qм</t>
  </si>
  <si>
    <t>Qтепл</t>
  </si>
  <si>
    <t>Qак</t>
  </si>
  <si>
    <t>Qизл</t>
  </si>
  <si>
    <t>Qп</t>
  </si>
  <si>
    <t>Qух</t>
  </si>
  <si>
    <t>Qнеучт</t>
  </si>
  <si>
    <t>итого</t>
  </si>
  <si>
    <t>η=</t>
  </si>
  <si>
    <t>Вусл=</t>
  </si>
  <si>
    <t>К=</t>
  </si>
  <si>
    <t>d(высота)</t>
  </si>
  <si>
    <t>масса подставок</t>
  </si>
  <si>
    <t>Расчет рекуператора</t>
  </si>
  <si>
    <t>B=</t>
  </si>
  <si>
    <t>t''в=</t>
  </si>
  <si>
    <t>СО2=</t>
  </si>
  <si>
    <t>Н2О=</t>
  </si>
  <si>
    <t>Вв=</t>
  </si>
  <si>
    <t>B'д=</t>
  </si>
  <si>
    <t>N2=</t>
  </si>
  <si>
    <t>O2=</t>
  </si>
  <si>
    <t>для графика</t>
  </si>
  <si>
    <t>СО2</t>
  </si>
  <si>
    <t>Н2О</t>
  </si>
  <si>
    <t>i=</t>
  </si>
  <si>
    <t>iух=</t>
  </si>
  <si>
    <t>(из графика)</t>
  </si>
  <si>
    <t>I'д=</t>
  </si>
  <si>
    <t>I''д=</t>
  </si>
  <si>
    <t>t'д=</t>
  </si>
  <si>
    <t>t''д=</t>
  </si>
  <si>
    <t>Δtср=</t>
  </si>
  <si>
    <t>αкд=</t>
  </si>
  <si>
    <t>tд=</t>
  </si>
  <si>
    <t>αд=</t>
  </si>
  <si>
    <t>tв=</t>
  </si>
  <si>
    <t>αв=</t>
  </si>
  <si>
    <t>F=</t>
  </si>
  <si>
    <t>Z=</t>
  </si>
  <si>
    <t>fср=</t>
  </si>
  <si>
    <t>lср=</t>
  </si>
  <si>
    <t>z1=</t>
  </si>
  <si>
    <t>z2=</t>
  </si>
  <si>
    <t>Расчет дымого тракта</t>
  </si>
  <si>
    <t>Вд=</t>
  </si>
  <si>
    <t>В'д=</t>
  </si>
  <si>
    <t>ρод=</t>
  </si>
  <si>
    <t>кол-во окон=</t>
  </si>
  <si>
    <t>Fокн=</t>
  </si>
  <si>
    <t>сторона окна=</t>
  </si>
  <si>
    <t>d1=</t>
  </si>
  <si>
    <t>Pдин1=</t>
  </si>
  <si>
    <t>Ртр1=</t>
  </si>
  <si>
    <t>Рм1=</t>
  </si>
  <si>
    <t>Ртр2=</t>
  </si>
  <si>
    <t>Рг1=</t>
  </si>
  <si>
    <t>Рм2=</t>
  </si>
  <si>
    <t>размеры бок.окон=</t>
  </si>
  <si>
    <t>tср2=</t>
  </si>
  <si>
    <t>Рдин2=</t>
  </si>
  <si>
    <t>d2=</t>
  </si>
  <si>
    <t>Pтр3=</t>
  </si>
  <si>
    <t>Рм3=</t>
  </si>
  <si>
    <t>Вдср=</t>
  </si>
  <si>
    <t>Fб=</t>
  </si>
  <si>
    <t>Hб=</t>
  </si>
  <si>
    <t>b=</t>
  </si>
  <si>
    <t>d3=</t>
  </si>
  <si>
    <t>tср3=</t>
  </si>
  <si>
    <t>Рдин3=</t>
  </si>
  <si>
    <t>Pтр4=</t>
  </si>
  <si>
    <t>n=</t>
  </si>
  <si>
    <t>s1=</t>
  </si>
  <si>
    <t>s2=</t>
  </si>
  <si>
    <t>m=</t>
  </si>
  <si>
    <t>Kкор=</t>
  </si>
  <si>
    <t>tср4=</t>
  </si>
  <si>
    <t>Рм4=</t>
  </si>
  <si>
    <t>tср5=</t>
  </si>
  <si>
    <t>Рдин5=</t>
  </si>
  <si>
    <t>Рм5=</t>
  </si>
  <si>
    <t>Рм6=</t>
  </si>
  <si>
    <t>Рп=</t>
  </si>
  <si>
    <t>Для У8</t>
  </si>
  <si>
    <t>Tг1н</t>
  </si>
  <si>
    <t>Тг1к</t>
  </si>
  <si>
    <t>Тг2н</t>
  </si>
  <si>
    <t>Тг2к</t>
  </si>
  <si>
    <t>Tкл1н</t>
  </si>
  <si>
    <t>Ткл1к</t>
  </si>
  <si>
    <t>Ткл2н</t>
  </si>
  <si>
    <t>Ткл2к</t>
  </si>
  <si>
    <t>Tгв</t>
  </si>
  <si>
    <t>Тпчв</t>
  </si>
  <si>
    <t>Тклв</t>
  </si>
  <si>
    <t>τ3=</t>
  </si>
  <si>
    <t>принято</t>
  </si>
  <si>
    <t>W0</t>
  </si>
  <si>
    <t>h1</t>
  </si>
  <si>
    <t>(s1-dн)/s1</t>
  </si>
  <si>
    <t>dн</t>
  </si>
  <si>
    <t>dвн</t>
  </si>
  <si>
    <t>lб2</t>
  </si>
  <si>
    <t>lб1</t>
  </si>
  <si>
    <t>λ1180=</t>
  </si>
  <si>
    <t>Qфв=</t>
  </si>
  <si>
    <t>Ртр5=</t>
  </si>
  <si>
    <t>Δt</t>
  </si>
  <si>
    <t>доменный газ</t>
  </si>
  <si>
    <t>доменный раб</t>
  </si>
  <si>
    <t>Qдом=</t>
  </si>
  <si>
    <t>x(дом)=</t>
  </si>
  <si>
    <t>i1160=</t>
  </si>
</sst>
</file>

<file path=xl/styles.xml><?xml version="1.0" encoding="utf-8"?>
<styleSheet xmlns="http://schemas.openxmlformats.org/spreadsheetml/2006/main">
  <numFmts count="5">
    <numFmt numFmtId="164" formatCode="0.000"/>
    <numFmt numFmtId="165" formatCode="0.0000"/>
    <numFmt numFmtId="166" formatCode="0.0"/>
    <numFmt numFmtId="167" formatCode="0.000000E+00"/>
    <numFmt numFmtId="168" formatCode="0.0000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vertAlign val="superscript"/>
      <sz val="11"/>
      <color rgb="FF000000"/>
      <name val="Arial"/>
      <family val="2"/>
      <charset val="204"/>
    </font>
    <font>
      <b/>
      <u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b/>
      <u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rgb="FF7030A0"/>
      <name val="Calibri"/>
      <family val="2"/>
      <charset val="204"/>
    </font>
    <font>
      <sz val="11"/>
      <color rgb="FF7030A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7" fillId="6" borderId="0" applyNumberFormat="0" applyBorder="0" applyAlignment="0" applyProtection="0"/>
  </cellStyleXfs>
  <cellXfs count="88">
    <xf numFmtId="0" fontId="0" fillId="0" borderId="0" xfId="0"/>
    <xf numFmtId="2" fontId="0" fillId="0" borderId="0" xfId="0" applyNumberFormat="1"/>
    <xf numFmtId="0" fontId="1" fillId="0" borderId="0" xfId="0" applyFont="1"/>
    <xf numFmtId="0" fontId="0" fillId="0" borderId="0" xfId="0" applyNumberFormat="1"/>
    <xf numFmtId="0" fontId="2" fillId="0" borderId="0" xfId="0" applyFont="1" applyAlignment="1">
      <alignment horizontal="center" vertical="center"/>
    </xf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/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/>
    <xf numFmtId="0" fontId="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65" fontId="0" fillId="0" borderId="0" xfId="0" applyNumberFormat="1" applyAlignment="1">
      <alignment horizontal="right"/>
    </xf>
    <xf numFmtId="166" fontId="0" fillId="0" borderId="0" xfId="0" applyNumberFormat="1"/>
    <xf numFmtId="165" fontId="0" fillId="0" borderId="0" xfId="0" applyNumberForma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2" fontId="1" fillId="0" borderId="0" xfId="0" applyNumberFormat="1" applyFont="1"/>
    <xf numFmtId="166" fontId="1" fillId="0" borderId="0" xfId="0" applyNumberFormat="1" applyFont="1"/>
    <xf numFmtId="1" fontId="1" fillId="0" borderId="0" xfId="0" applyNumberFormat="1" applyFont="1"/>
    <xf numFmtId="2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167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 applyAlignme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7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0" fillId="0" borderId="0" xfId="0" applyFont="1"/>
    <xf numFmtId="0" fontId="0" fillId="0" borderId="1" xfId="0" applyBorder="1"/>
    <xf numFmtId="0" fontId="0" fillId="0" borderId="0" xfId="0" applyBorder="1"/>
    <xf numFmtId="166" fontId="0" fillId="0" borderId="1" xfId="0" applyNumberFormat="1" applyBorder="1"/>
    <xf numFmtId="1" fontId="0" fillId="0" borderId="1" xfId="0" applyNumberFormat="1" applyBorder="1"/>
    <xf numFmtId="0" fontId="2" fillId="0" borderId="0" xfId="0" applyFont="1" applyAlignment="1">
      <alignment horizontal="center" vertical="center"/>
    </xf>
    <xf numFmtId="2" fontId="0" fillId="0" borderId="0" xfId="0" applyNumberFormat="1" applyAlignment="1">
      <alignment horizontal="right" vertical="center"/>
    </xf>
    <xf numFmtId="2" fontId="0" fillId="0" borderId="0" xfId="0" applyNumberFormat="1" applyAlignment="1">
      <alignment vertical="center"/>
    </xf>
    <xf numFmtId="1" fontId="16" fillId="2" borderId="0" xfId="1" applyNumberFormat="1"/>
    <xf numFmtId="1" fontId="15" fillId="4" borderId="0" xfId="3" applyNumberFormat="1"/>
    <xf numFmtId="1" fontId="15" fillId="5" borderId="0" xfId="4" applyNumberFormat="1"/>
    <xf numFmtId="1" fontId="17" fillId="3" borderId="0" xfId="2" applyNumberFormat="1"/>
    <xf numFmtId="166" fontId="0" fillId="0" borderId="0" xfId="0" applyNumberFormat="1" applyAlignment="1">
      <alignment horizontal="right"/>
    </xf>
    <xf numFmtId="1" fontId="17" fillId="6" borderId="0" xfId="5" applyNumberFormat="1"/>
    <xf numFmtId="2" fontId="7" fillId="0" borderId="0" xfId="0" applyNumberFormat="1" applyFont="1"/>
    <xf numFmtId="2" fontId="0" fillId="0" borderId="0" xfId="0" applyNumberFormat="1" applyFont="1"/>
    <xf numFmtId="2" fontId="18" fillId="0" borderId="1" xfId="0" applyNumberFormat="1" applyFont="1" applyBorder="1" applyAlignment="1"/>
    <xf numFmtId="0" fontId="18" fillId="0" borderId="1" xfId="0" applyNumberFormat="1" applyFont="1" applyBorder="1" applyAlignment="1"/>
    <xf numFmtId="168" fontId="0" fillId="0" borderId="0" xfId="0" applyNumberFormat="1"/>
    <xf numFmtId="166" fontId="18" fillId="0" borderId="1" xfId="0" applyNumberFormat="1" applyFont="1" applyBorder="1" applyAlignment="1"/>
    <xf numFmtId="168" fontId="0" fillId="0" borderId="0" xfId="0" applyNumberFormat="1" applyAlignment="1">
      <alignment vertical="center"/>
    </xf>
    <xf numFmtId="168" fontId="0" fillId="0" borderId="0" xfId="0" applyNumberFormat="1" applyAlignment="1"/>
    <xf numFmtId="168" fontId="0" fillId="0" borderId="0" xfId="0" applyNumberFormat="1" applyAlignment="1">
      <alignment horizontal="right" vertical="center"/>
    </xf>
    <xf numFmtId="168" fontId="0" fillId="0" borderId="0" xfId="0" applyNumberFormat="1" applyAlignment="1">
      <alignment horizontal="right"/>
    </xf>
    <xf numFmtId="168" fontId="0" fillId="0" borderId="0" xfId="0" applyNumberFormat="1" applyAlignment="1">
      <alignment horizontal="center" vertical="center"/>
    </xf>
    <xf numFmtId="165" fontId="15" fillId="5" borderId="0" xfId="4" applyNumberFormat="1"/>
    <xf numFmtId="165" fontId="17" fillId="6" borderId="0" xfId="5" applyNumberFormat="1"/>
    <xf numFmtId="165" fontId="15" fillId="4" borderId="0" xfId="3" applyNumberFormat="1"/>
    <xf numFmtId="165" fontId="16" fillId="2" borderId="0" xfId="1" applyNumberFormat="1"/>
    <xf numFmtId="165" fontId="17" fillId="3" borderId="0" xfId="2" applyNumberFormat="1"/>
    <xf numFmtId="1" fontId="15" fillId="7" borderId="0" xfId="3" applyNumberFormat="1" applyFill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6">
    <cellStyle name="20% - Акцент1" xfId="3" builtinId="30"/>
    <cellStyle name="40% - Акцент1" xfId="4" builtinId="31"/>
    <cellStyle name="60% - Акцент2" xfId="5" builtinId="36"/>
    <cellStyle name="Акцент1" xfId="2" builtinId="29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scatterChart>
        <c:scatterStyle val="lineMarker"/>
        <c:ser>
          <c:idx val="0"/>
          <c:order val="0"/>
          <c:tx>
            <c:v>tц</c:v>
          </c:tx>
          <c:spPr>
            <a:ln w="28575">
              <a:noFill/>
            </a:ln>
          </c:spPr>
          <c:xVal>
            <c:numRef>
              <c:f>'3 часть'!$B$89:$B$93</c:f>
              <c:numCache>
                <c:formatCode>0,00</c:formatCode>
                <c:ptCount val="5"/>
                <c:pt idx="0" formatCode="Основной">
                  <c:v>0</c:v>
                </c:pt>
                <c:pt idx="1">
                  <c:v>0.54452085070028955</c:v>
                </c:pt>
                <c:pt idx="2">
                  <c:v>0.54452085070028955</c:v>
                </c:pt>
                <c:pt idx="3">
                  <c:v>2.6889906262932572</c:v>
                </c:pt>
                <c:pt idx="4">
                  <c:v>3.0108771903642233</c:v>
                </c:pt>
              </c:numCache>
            </c:numRef>
          </c:xVal>
          <c:yVal>
            <c:numRef>
              <c:f>'3 часть'!$C$89:$C$93</c:f>
              <c:numCache>
                <c:formatCode>0</c:formatCode>
                <c:ptCount val="5"/>
                <c:pt idx="0" formatCode="Основной">
                  <c:v>20</c:v>
                </c:pt>
                <c:pt idx="1">
                  <c:v>308.30954563367368</c:v>
                </c:pt>
                <c:pt idx="2">
                  <c:v>308.30954563367368</c:v>
                </c:pt>
                <c:pt idx="3">
                  <c:v>1096.6185887506367</c:v>
                </c:pt>
                <c:pt idx="4" formatCode="Основной">
                  <c:v>1130</c:v>
                </c:pt>
              </c:numCache>
            </c:numRef>
          </c:yVal>
        </c:ser>
        <c:ser>
          <c:idx val="1"/>
          <c:order val="1"/>
          <c:tx>
            <c:v>tcp</c:v>
          </c:tx>
          <c:spPr>
            <a:ln w="28575">
              <a:noFill/>
            </a:ln>
          </c:spPr>
          <c:xVal>
            <c:numRef>
              <c:f>'3 часть'!$B$89:$B$93</c:f>
              <c:numCache>
                <c:formatCode>0,00</c:formatCode>
                <c:ptCount val="5"/>
                <c:pt idx="0" formatCode="Основной">
                  <c:v>0</c:v>
                </c:pt>
                <c:pt idx="1">
                  <c:v>0.54452085070028955</c:v>
                </c:pt>
                <c:pt idx="2">
                  <c:v>0.54452085070028955</c:v>
                </c:pt>
                <c:pt idx="3">
                  <c:v>2.6889906262932572</c:v>
                </c:pt>
                <c:pt idx="4">
                  <c:v>3.0108771903642233</c:v>
                </c:pt>
              </c:numCache>
            </c:numRef>
          </c:xVal>
          <c:yVal>
            <c:numRef>
              <c:f>'3 часть'!$D$89:$D$93</c:f>
              <c:numCache>
                <c:formatCode>0</c:formatCode>
                <c:ptCount val="5"/>
                <c:pt idx="0" formatCode="Основной">
                  <c:v>20</c:v>
                </c:pt>
                <c:pt idx="1">
                  <c:v>454.15477281683684</c:v>
                </c:pt>
                <c:pt idx="2">
                  <c:v>454.15477281683684</c:v>
                </c:pt>
                <c:pt idx="3">
                  <c:v>1138.3092943753184</c:v>
                </c:pt>
                <c:pt idx="4" formatCode="Основной">
                  <c:v>1155</c:v>
                </c:pt>
              </c:numCache>
            </c:numRef>
          </c:yVal>
        </c:ser>
        <c:ser>
          <c:idx val="2"/>
          <c:order val="2"/>
          <c:tx>
            <c:v>tп</c:v>
          </c:tx>
          <c:spPr>
            <a:ln w="28575">
              <a:noFill/>
            </a:ln>
          </c:spPr>
          <c:xVal>
            <c:numRef>
              <c:f>'3 часть'!$B$89:$B$93</c:f>
              <c:numCache>
                <c:formatCode>0,00</c:formatCode>
                <c:ptCount val="5"/>
                <c:pt idx="0" formatCode="Основной">
                  <c:v>0</c:v>
                </c:pt>
                <c:pt idx="1">
                  <c:v>0.54452085070028955</c:v>
                </c:pt>
                <c:pt idx="2">
                  <c:v>0.54452085070028955</c:v>
                </c:pt>
                <c:pt idx="3">
                  <c:v>2.6889906262932572</c:v>
                </c:pt>
                <c:pt idx="4">
                  <c:v>3.0108771903642233</c:v>
                </c:pt>
              </c:numCache>
            </c:numRef>
          </c:xVal>
          <c:yVal>
            <c:numRef>
              <c:f>'3 часть'!$E$89:$E$93</c:f>
              <c:numCache>
                <c:formatCode>Основной</c:formatCode>
                <c:ptCount val="5"/>
                <c:pt idx="0">
                  <c:v>20</c:v>
                </c:pt>
                <c:pt idx="1">
                  <c:v>600</c:v>
                </c:pt>
                <c:pt idx="2">
                  <c:v>600</c:v>
                </c:pt>
                <c:pt idx="3">
                  <c:v>1180</c:v>
                </c:pt>
                <c:pt idx="4">
                  <c:v>1180</c:v>
                </c:pt>
              </c:numCache>
            </c:numRef>
          </c:yVal>
        </c:ser>
        <c:ser>
          <c:idx val="3"/>
          <c:order val="3"/>
          <c:tx>
            <c:v>tкл</c:v>
          </c:tx>
          <c:spPr>
            <a:ln w="28575">
              <a:noFill/>
            </a:ln>
          </c:spPr>
          <c:xVal>
            <c:numRef>
              <c:f>'3 часть'!$B$89:$B$93</c:f>
              <c:numCache>
                <c:formatCode>0,00</c:formatCode>
                <c:ptCount val="5"/>
                <c:pt idx="0" formatCode="Основной">
                  <c:v>0</c:v>
                </c:pt>
                <c:pt idx="1">
                  <c:v>0.54452085070028955</c:v>
                </c:pt>
                <c:pt idx="2">
                  <c:v>0.54452085070028955</c:v>
                </c:pt>
                <c:pt idx="3">
                  <c:v>2.6889906262932572</c:v>
                </c:pt>
                <c:pt idx="4">
                  <c:v>3.0108771903642233</c:v>
                </c:pt>
              </c:numCache>
            </c:numRef>
          </c:xVal>
          <c:yVal>
            <c:numRef>
              <c:f>'3 часть'!$F$89:$F$93</c:f>
              <c:numCache>
                <c:formatCode>0</c:formatCode>
                <c:ptCount val="5"/>
                <c:pt idx="0">
                  <c:v>1018.5955804867463</c:v>
                </c:pt>
                <c:pt idx="1">
                  <c:v>1032.8201850096432</c:v>
                </c:pt>
                <c:pt idx="2">
                  <c:v>1150.8850045661577</c:v>
                </c:pt>
                <c:pt idx="3">
                  <c:v>1219.4507634973179</c:v>
                </c:pt>
                <c:pt idx="4">
                  <c:v>1198.153111959577</c:v>
                </c:pt>
              </c:numCache>
            </c:numRef>
          </c:yVal>
        </c:ser>
        <c:ser>
          <c:idx val="4"/>
          <c:order val="4"/>
          <c:tx>
            <c:v>tпч</c:v>
          </c:tx>
          <c:spPr>
            <a:ln w="28575">
              <a:noFill/>
            </a:ln>
          </c:spPr>
          <c:xVal>
            <c:numRef>
              <c:f>'3 часть'!$B$89:$B$93</c:f>
              <c:numCache>
                <c:formatCode>0,00</c:formatCode>
                <c:ptCount val="5"/>
                <c:pt idx="0" formatCode="Основной">
                  <c:v>0</c:v>
                </c:pt>
                <c:pt idx="1">
                  <c:v>0.54452085070028955</c:v>
                </c:pt>
                <c:pt idx="2">
                  <c:v>0.54452085070028955</c:v>
                </c:pt>
                <c:pt idx="3">
                  <c:v>2.6889906262932572</c:v>
                </c:pt>
                <c:pt idx="4">
                  <c:v>3.0108771903642233</c:v>
                </c:pt>
              </c:numCache>
            </c:numRef>
          </c:xVal>
          <c:yVal>
            <c:numRef>
              <c:f>'3 часть'!$G$89:$G$93</c:f>
              <c:numCache>
                <c:formatCode>Основной</c:formatCode>
                <c:ptCount val="5"/>
                <c:pt idx="0">
                  <c:v>1100</c:v>
                </c:pt>
                <c:pt idx="1">
                  <c:v>1100</c:v>
                </c:pt>
                <c:pt idx="2">
                  <c:v>1230</c:v>
                </c:pt>
                <c:pt idx="3">
                  <c:v>1230</c:v>
                </c:pt>
                <c:pt idx="4" formatCode="0">
                  <c:v>1205.4280596402834</c:v>
                </c:pt>
              </c:numCache>
            </c:numRef>
          </c:yVal>
        </c:ser>
        <c:ser>
          <c:idx val="5"/>
          <c:order val="5"/>
          <c:tx>
            <c:v>tг</c:v>
          </c:tx>
          <c:spPr>
            <a:ln w="28575">
              <a:noFill/>
            </a:ln>
          </c:spPr>
          <c:xVal>
            <c:numRef>
              <c:f>'3 часть'!$B$89:$B$93</c:f>
              <c:numCache>
                <c:formatCode>0,00</c:formatCode>
                <c:ptCount val="5"/>
                <c:pt idx="0" formatCode="Основной">
                  <c:v>0</c:v>
                </c:pt>
                <c:pt idx="1">
                  <c:v>0.54452085070028955</c:v>
                </c:pt>
                <c:pt idx="2">
                  <c:v>0.54452085070028955</c:v>
                </c:pt>
                <c:pt idx="3">
                  <c:v>2.6889906262932572</c:v>
                </c:pt>
                <c:pt idx="4">
                  <c:v>3.0108771903642233</c:v>
                </c:pt>
              </c:numCache>
            </c:numRef>
          </c:xVal>
          <c:yVal>
            <c:numRef>
              <c:f>'3 часть'!$H$89:$H$93</c:f>
              <c:numCache>
                <c:formatCode>0</c:formatCode>
                <c:ptCount val="5"/>
                <c:pt idx="0">
                  <c:v>1280.5799141557022</c:v>
                </c:pt>
                <c:pt idx="1">
                  <c:v>1255.4854910517151</c:v>
                </c:pt>
                <c:pt idx="2">
                  <c:v>1450.3525696982622</c:v>
                </c:pt>
                <c:pt idx="3">
                  <c:v>1267.6566115449994</c:v>
                </c:pt>
                <c:pt idx="4">
                  <c:v>1216.6767076066153</c:v>
                </c:pt>
              </c:numCache>
            </c:numRef>
          </c:yVal>
        </c:ser>
        <c:ser>
          <c:idx val="6"/>
          <c:order val="6"/>
          <c:tx>
            <c:strRef>
              <c:f>'3 часть'!$J$87</c:f>
              <c:strCache>
                <c:ptCount val="1"/>
                <c:pt idx="0">
                  <c:v>Δt</c:v>
                </c:pt>
              </c:strCache>
            </c:strRef>
          </c:tx>
          <c:spPr>
            <a:ln w="28575">
              <a:noFill/>
            </a:ln>
          </c:spPr>
          <c:xVal>
            <c:numRef>
              <c:f>'3 часть'!$B$89:$B$93</c:f>
              <c:numCache>
                <c:formatCode>0,00</c:formatCode>
                <c:ptCount val="5"/>
                <c:pt idx="0" formatCode="Основной">
                  <c:v>0</c:v>
                </c:pt>
                <c:pt idx="1">
                  <c:v>0.54452085070028955</c:v>
                </c:pt>
                <c:pt idx="2">
                  <c:v>0.54452085070028955</c:v>
                </c:pt>
                <c:pt idx="3">
                  <c:v>2.6889906262932572</c:v>
                </c:pt>
                <c:pt idx="4">
                  <c:v>3.0108771903642233</c:v>
                </c:pt>
              </c:numCache>
            </c:numRef>
          </c:xVal>
          <c:yVal>
            <c:numRef>
              <c:f>'3 часть'!$J$89:$J$93</c:f>
              <c:numCache>
                <c:formatCode>0</c:formatCode>
                <c:ptCount val="5"/>
                <c:pt idx="0" formatCode="Основной">
                  <c:v>0</c:v>
                </c:pt>
                <c:pt idx="1">
                  <c:v>291.69045436632632</c:v>
                </c:pt>
                <c:pt idx="2">
                  <c:v>291.69045436632632</c:v>
                </c:pt>
                <c:pt idx="3">
                  <c:v>83.381411249363282</c:v>
                </c:pt>
                <c:pt idx="4">
                  <c:v>50</c:v>
                </c:pt>
              </c:numCache>
            </c:numRef>
          </c:yVal>
        </c:ser>
        <c:axId val="137987968"/>
        <c:axId val="137994240"/>
      </c:scatterChart>
      <c:valAx>
        <c:axId val="137987968"/>
        <c:scaling>
          <c:orientation val="minMax"/>
          <c:max val="3.2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l-GR" sz="1800">
                    <a:latin typeface="Times New Roman"/>
                    <a:cs typeface="Times New Roman"/>
                  </a:rPr>
                  <a:t>τ</a:t>
                </a:r>
                <a:r>
                  <a:rPr lang="ru-RU" sz="1800">
                    <a:latin typeface="Times New Roman"/>
                    <a:cs typeface="Times New Roman"/>
                  </a:rPr>
                  <a:t>,</a:t>
                </a:r>
                <a:r>
                  <a:rPr lang="ru-RU" sz="1800" baseline="0">
                    <a:latin typeface="Times New Roman"/>
                    <a:cs typeface="Times New Roman"/>
                  </a:rPr>
                  <a:t> ч</a:t>
                </a:r>
                <a:endParaRPr lang="ru-RU" sz="1800"/>
              </a:p>
            </c:rich>
          </c:tx>
          <c:layout/>
        </c:title>
        <c:numFmt formatCode="Основной" sourceLinked="1"/>
        <c:tickLblPos val="nextTo"/>
        <c:crossAx val="137994240"/>
        <c:crosses val="autoZero"/>
        <c:crossBetween val="midCat"/>
        <c:majorUnit val="0.2"/>
        <c:minorUnit val="0.05"/>
      </c:valAx>
      <c:valAx>
        <c:axId val="137994240"/>
        <c:scaling>
          <c:orientation val="minMax"/>
          <c:max val="1500"/>
          <c:min val="0"/>
        </c:scaling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800">
                    <a:latin typeface="Times New Roman" pitchFamily="18" charset="0"/>
                    <a:cs typeface="Times New Roman" pitchFamily="18" charset="0"/>
                  </a:rPr>
                  <a:t>t,</a:t>
                </a:r>
                <a:r>
                  <a:rPr lang="en-US" sz="1800" baseline="0">
                    <a:latin typeface="Times New Roman" pitchFamily="18" charset="0"/>
                    <a:cs typeface="Times New Roman" pitchFamily="18" charset="0"/>
                  </a:rPr>
                  <a:t> </a:t>
                </a:r>
                <a:r>
                  <a:rPr lang="ru-RU" sz="1800" b="1" i="0" u="none" strike="noStrike" baseline="0">
                    <a:latin typeface="Times New Roman" pitchFamily="18" charset="0"/>
                    <a:cs typeface="Times New Roman" pitchFamily="18" charset="0"/>
                  </a:rPr>
                  <a:t>℃</a:t>
                </a:r>
                <a:endParaRPr lang="ru-RU" sz="1800"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1.6332592852310222E-2"/>
              <c:y val="0.43439382215951367"/>
            </c:manualLayout>
          </c:layout>
        </c:title>
        <c:numFmt formatCode="Основной" sourceLinked="1"/>
        <c:tickLblPos val="nextTo"/>
        <c:crossAx val="137987968"/>
        <c:crosses val="autoZero"/>
        <c:crossBetween val="midCat"/>
        <c:majorUnit val="100"/>
        <c:minorUnit val="10"/>
      </c:valAx>
    </c:plotArea>
    <c:legend>
      <c:legendPos val="b"/>
      <c:layout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scatterChart>
        <c:scatterStyle val="smoothMarker"/>
        <c:ser>
          <c:idx val="0"/>
          <c:order val="0"/>
          <c:trendline>
            <c:trendlineType val="linear"/>
            <c:dispRSqr val="1"/>
            <c:dispEq val="1"/>
            <c:trendlineLbl>
              <c:layout/>
              <c:numFmt formatCode="Основной" sourceLinked="0"/>
            </c:trendlineLbl>
          </c:trendline>
          <c:xVal>
            <c:numRef>
              <c:f>'5 часть'!$A$10:$A$11</c:f>
              <c:numCache>
                <c:formatCode>Основной</c:formatCode>
                <c:ptCount val="2"/>
                <c:pt idx="0">
                  <c:v>0</c:v>
                </c:pt>
                <c:pt idx="1">
                  <c:v>1400</c:v>
                </c:pt>
              </c:numCache>
            </c:numRef>
          </c:xVal>
          <c:yVal>
            <c:numRef>
              <c:f>'5 часть'!$H$10:$H$11</c:f>
              <c:numCache>
                <c:formatCode>Основной</c:formatCode>
                <c:ptCount val="2"/>
                <c:pt idx="0">
                  <c:v>0</c:v>
                </c:pt>
                <c:pt idx="1">
                  <c:v>2218.5520026621998</c:v>
                </c:pt>
              </c:numCache>
            </c:numRef>
          </c:yVal>
          <c:smooth val="1"/>
        </c:ser>
        <c:axId val="140305152"/>
        <c:axId val="140307072"/>
      </c:scatterChart>
      <c:valAx>
        <c:axId val="140305152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</a:t>
                </a:r>
                <a:r>
                  <a:rPr lang="ru-RU"/>
                  <a:t>,</a:t>
                </a:r>
                <a:r>
                  <a:rPr lang="ru-RU" baseline="0"/>
                  <a:t> град С</a:t>
                </a:r>
                <a:endParaRPr lang="ru-RU"/>
              </a:p>
            </c:rich>
          </c:tx>
          <c:layout/>
        </c:title>
        <c:numFmt formatCode="Основной" sourceLinked="1"/>
        <c:tickLblPos val="nextTo"/>
        <c:crossAx val="140307072"/>
        <c:crosses val="autoZero"/>
        <c:crossBetween val="midCat"/>
      </c:valAx>
      <c:valAx>
        <c:axId val="140307072"/>
        <c:scaling>
          <c:orientation val="minMax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i,</a:t>
                </a:r>
                <a:r>
                  <a:rPr lang="en-US" baseline="0"/>
                  <a:t> </a:t>
                </a:r>
                <a:r>
                  <a:rPr lang="ru-RU" baseline="0"/>
                  <a:t>кдж/м3</a:t>
                </a:r>
                <a:endParaRPr lang="ru-RU"/>
              </a:p>
            </c:rich>
          </c:tx>
          <c:layout/>
        </c:title>
        <c:numFmt formatCode="Основной" sourceLinked="1"/>
        <c:tickLblPos val="nextTo"/>
        <c:crossAx val="140305152"/>
        <c:crosses val="autoZero"/>
        <c:crossBetween val="midCat"/>
      </c:valAx>
    </c:plotArea>
    <c:plotVisOnly val="1"/>
    <c:dispBlanksAs val="gap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180975</xdr:colOff>
      <xdr:row>58</xdr:row>
      <xdr:rowOff>142874</xdr:rowOff>
    </xdr:from>
    <xdr:to>
      <xdr:col>22</xdr:col>
      <xdr:colOff>152399</xdr:colOff>
      <xdr:row>95</xdr:row>
      <xdr:rowOff>142874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6</xdr:row>
      <xdr:rowOff>152400</xdr:rowOff>
    </xdr:from>
    <xdr:to>
      <xdr:col>19</xdr:col>
      <xdr:colOff>133350</xdr:colOff>
      <xdr:row>27</xdr:row>
      <xdr:rowOff>133350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4"/>
  <sheetViews>
    <sheetView zoomScaleNormal="100" workbookViewId="0">
      <selection activeCell="C15" sqref="C15"/>
    </sheetView>
  </sheetViews>
  <sheetFormatPr defaultRowHeight="15"/>
  <cols>
    <col min="2" max="6" width="9.28515625" bestFit="1" customWidth="1"/>
    <col min="7" max="7" width="9.5703125" bestFit="1" customWidth="1"/>
  </cols>
  <sheetData>
    <row r="1" spans="1:14" ht="42" customHeight="1">
      <c r="A1" s="78" t="s">
        <v>23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4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7</v>
      </c>
      <c r="H2" t="s">
        <v>8</v>
      </c>
      <c r="I2" t="s">
        <v>9</v>
      </c>
      <c r="J2" t="s">
        <v>6</v>
      </c>
      <c r="K2" s="2" t="s">
        <v>12</v>
      </c>
      <c r="L2" s="2"/>
      <c r="M2" s="17" t="s">
        <v>94</v>
      </c>
      <c r="N2">
        <v>25</v>
      </c>
    </row>
    <row r="3" spans="1:14" ht="15.75">
      <c r="A3" s="16" t="s">
        <v>321</v>
      </c>
      <c r="B3" s="66">
        <v>3.3</v>
      </c>
      <c r="C3" s="66">
        <v>27.4</v>
      </c>
      <c r="D3" s="66">
        <v>0.9</v>
      </c>
      <c r="E3" s="66">
        <v>0</v>
      </c>
      <c r="F3" s="66">
        <v>10</v>
      </c>
      <c r="G3" s="66">
        <v>58.4</v>
      </c>
      <c r="H3" s="64">
        <v>0</v>
      </c>
      <c r="I3" s="64">
        <v>0</v>
      </c>
      <c r="J3" s="64">
        <v>0</v>
      </c>
      <c r="K3" s="1">
        <f>SUM(B3:J3)</f>
        <v>100</v>
      </c>
      <c r="L3" s="1"/>
      <c r="M3" t="s">
        <v>10</v>
      </c>
      <c r="N3" s="65">
        <f>100*N2/(N2+803.6)</f>
        <v>3.017137340091721</v>
      </c>
    </row>
    <row r="4" spans="1:14" ht="15.75">
      <c r="A4" t="s">
        <v>0</v>
      </c>
      <c r="B4" s="66">
        <v>2</v>
      </c>
      <c r="C4" s="66">
        <v>0.6</v>
      </c>
      <c r="D4" s="66">
        <v>93</v>
      </c>
      <c r="E4" s="66">
        <v>0.4</v>
      </c>
      <c r="F4" s="66">
        <v>0.3</v>
      </c>
      <c r="G4" s="66">
        <v>3</v>
      </c>
      <c r="H4" s="66">
        <v>0.5</v>
      </c>
      <c r="I4" s="66">
        <v>0.2</v>
      </c>
      <c r="J4" s="63">
        <v>0</v>
      </c>
      <c r="K4" s="1">
        <f>SUM(B4:I4)</f>
        <v>100</v>
      </c>
      <c r="L4" s="1"/>
      <c r="M4" t="s">
        <v>11</v>
      </c>
      <c r="N4" s="65">
        <f>(100-N3)/(100-J3)</f>
        <v>0.96982862659908275</v>
      </c>
    </row>
    <row r="5" spans="1:14">
      <c r="B5" s="1"/>
      <c r="C5" s="1"/>
      <c r="D5" s="1"/>
      <c r="E5" s="1"/>
      <c r="F5" s="1"/>
      <c r="G5" s="1"/>
      <c r="H5" s="1"/>
      <c r="I5" s="1"/>
      <c r="J5" s="1"/>
      <c r="K5" s="1"/>
      <c r="L5" s="1"/>
      <c r="N5" s="1"/>
    </row>
    <row r="6" spans="1:14">
      <c r="A6" t="s">
        <v>322</v>
      </c>
      <c r="B6" s="65">
        <f>B3*$N$4</f>
        <v>3.2004344677769727</v>
      </c>
      <c r="C6" s="65">
        <f t="shared" ref="C6:I6" si="0">C3*$N$4</f>
        <v>26.573304368814867</v>
      </c>
      <c r="D6" s="65">
        <f t="shared" si="0"/>
        <v>0.87284576393917446</v>
      </c>
      <c r="E6" s="65">
        <f t="shared" si="0"/>
        <v>0</v>
      </c>
      <c r="F6" s="65">
        <f t="shared" si="0"/>
        <v>9.6982862659908271</v>
      </c>
      <c r="G6" s="65">
        <f t="shared" si="0"/>
        <v>56.637991793386433</v>
      </c>
      <c r="H6" s="65">
        <f t="shared" si="0"/>
        <v>0</v>
      </c>
      <c r="I6" s="65">
        <f t="shared" si="0"/>
        <v>0</v>
      </c>
      <c r="J6" s="65">
        <f>N3</f>
        <v>3.017137340091721</v>
      </c>
      <c r="K6" s="1">
        <f>SUM(B6:J6)</f>
        <v>100</v>
      </c>
      <c r="L6" s="1"/>
      <c r="M6" t="s">
        <v>323</v>
      </c>
      <c r="N6" s="65">
        <f>0.127*C6+0.108*B6+0.357*D6+0.234*I6+0.596*E6</f>
        <v>4.0320625150856868</v>
      </c>
    </row>
    <row r="7" spans="1:14">
      <c r="B7" s="1"/>
      <c r="C7" s="1"/>
      <c r="D7" s="1"/>
      <c r="E7" s="1"/>
      <c r="F7" s="1"/>
      <c r="G7" s="1"/>
      <c r="H7" s="1"/>
      <c r="I7" s="1"/>
      <c r="J7" s="1"/>
      <c r="K7" s="1"/>
      <c r="M7" t="s">
        <v>13</v>
      </c>
      <c r="N7" s="65">
        <f>0.127*C4+0.108*B4+0.234*I4+0.357*D4+0.596*E4</f>
        <v>33.778399999999998</v>
      </c>
    </row>
    <row r="8" spans="1:14">
      <c r="A8" t="s">
        <v>15</v>
      </c>
      <c r="B8" s="65">
        <f>$N$10*B6+$N$11*B4</f>
        <v>2.0717685886061519</v>
      </c>
      <c r="C8" s="65">
        <f t="shared" ref="C8:J8" si="1">$N$10*C6+$N$11*C4</f>
        <v>2.1528272854742458</v>
      </c>
      <c r="D8" s="65">
        <f t="shared" si="1"/>
        <v>87.492130966492923</v>
      </c>
      <c r="E8" s="65">
        <f t="shared" si="1"/>
        <v>0.37608579542403292</v>
      </c>
      <c r="F8" s="65">
        <f t="shared" si="1"/>
        <v>0.86188135107101616</v>
      </c>
      <c r="G8" s="65">
        <f t="shared" si="1"/>
        <v>6.2067747719777175</v>
      </c>
      <c r="H8" s="65">
        <f t="shared" si="1"/>
        <v>0.47010724428004114</v>
      </c>
      <c r="I8" s="65">
        <f t="shared" si="1"/>
        <v>0.18804289771201646</v>
      </c>
      <c r="J8" s="65">
        <f t="shared" si="1"/>
        <v>0.1803810989618565</v>
      </c>
      <c r="K8" s="1">
        <f t="shared" ref="K8" si="2">SUM(B8:J8)</f>
        <v>100.00000000000001</v>
      </c>
      <c r="M8" s="16" t="s">
        <v>95</v>
      </c>
      <c r="N8" s="1">
        <v>32</v>
      </c>
    </row>
    <row r="9" spans="1:14">
      <c r="B9" s="1"/>
      <c r="C9" s="1"/>
      <c r="D9" s="1"/>
      <c r="E9" s="1"/>
      <c r="F9" s="1"/>
      <c r="G9" s="1"/>
      <c r="H9" s="1"/>
      <c r="I9" s="1"/>
      <c r="J9" s="1"/>
      <c r="N9" s="1"/>
    </row>
    <row r="10" spans="1:14">
      <c r="A10" s="3"/>
      <c r="G10" s="3"/>
      <c r="H10" s="3"/>
      <c r="I10" s="3"/>
      <c r="J10" s="3"/>
      <c r="K10" s="3"/>
      <c r="M10" t="s">
        <v>324</v>
      </c>
      <c r="N10" s="65">
        <f>(N8-N7)/(N6-N7)</f>
        <v>5.978551143991772E-2</v>
      </c>
    </row>
    <row r="11" spans="1:14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M11" t="s">
        <v>14</v>
      </c>
      <c r="N11" s="65">
        <f>1-N10</f>
        <v>0.94021448856008227</v>
      </c>
    </row>
    <row r="12" spans="1:14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N12" s="1"/>
    </row>
    <row r="13" spans="1:14">
      <c r="A13" s="3"/>
      <c r="B13" s="3" t="s">
        <v>18</v>
      </c>
      <c r="C13" s="3" t="s">
        <v>6</v>
      </c>
      <c r="D13" s="3" t="s">
        <v>19</v>
      </c>
      <c r="E13" s="3" t="s">
        <v>7</v>
      </c>
      <c r="F13" s="3" t="s">
        <v>8</v>
      </c>
      <c r="G13" s="2" t="s">
        <v>12</v>
      </c>
      <c r="H13" s="3"/>
      <c r="I13" s="3"/>
      <c r="J13" s="3"/>
      <c r="K13" s="3"/>
      <c r="M13" t="s">
        <v>16</v>
      </c>
      <c r="N13" s="65">
        <f>0.0476*(0.5*C8+0.5*B8+2*D8+3*E8+1.5*I8-H8)*(1+0.00124*10)</f>
        <v>8.5796348851661133</v>
      </c>
    </row>
    <row r="14" spans="1:14">
      <c r="A14" s="3" t="s">
        <v>20</v>
      </c>
      <c r="B14" s="65">
        <f>0.01*(F8+C8+D8+2*E8)</f>
        <v>0.91259011193886252</v>
      </c>
      <c r="C14" s="65">
        <f>0.01*(2*D8+2*E8+B8+J8+I8+0.124*N14*10)</f>
        <v>1.8987924809248051</v>
      </c>
      <c r="D14" s="65">
        <f>0.01*I8</f>
        <v>1.8804289771201647E-3</v>
      </c>
      <c r="E14" s="65">
        <f>0.01*(G8+79*N14)</f>
        <v>7.5177704629291302</v>
      </c>
      <c r="F14" s="65">
        <f>0.21*(1.1-1)*N13</f>
        <v>0.18017233258848853</v>
      </c>
      <c r="G14" s="65">
        <f>SUM(B14:F14)</f>
        <v>10.511205817358407</v>
      </c>
      <c r="H14" s="3"/>
      <c r="I14" s="3"/>
      <c r="J14" s="3"/>
      <c r="K14" s="3"/>
      <c r="M14" t="s">
        <v>17</v>
      </c>
      <c r="N14" s="65">
        <f>N13*1.1</f>
        <v>9.4375983736827251</v>
      </c>
    </row>
    <row r="15" spans="1:14">
      <c r="A15" s="3" t="s">
        <v>21</v>
      </c>
      <c r="B15" s="65">
        <f>B14*100/$G$14</f>
        <v>8.6820687159582945</v>
      </c>
      <c r="C15" s="65">
        <f t="shared" ref="C15:G15" si="3">C14*100/$G$14</f>
        <v>18.064459148817186</v>
      </c>
      <c r="D15" s="65">
        <f t="shared" si="3"/>
        <v>1.7889755084186328E-2</v>
      </c>
      <c r="E15" s="65">
        <f t="shared" si="3"/>
        <v>71.521484723609348</v>
      </c>
      <c r="F15" s="65">
        <f t="shared" si="3"/>
        <v>1.7140976565309805</v>
      </c>
      <c r="G15" s="5">
        <f t="shared" si="3"/>
        <v>100</v>
      </c>
      <c r="H15" s="3"/>
      <c r="I15" s="3"/>
      <c r="J15" s="3"/>
      <c r="K15" s="3"/>
      <c r="N15" s="65"/>
    </row>
    <row r="16" spans="1:1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M16" s="2" t="s">
        <v>22</v>
      </c>
      <c r="N16" s="65">
        <f>(0.44*B15+0.18*C15+0.28*E15+0.32*F15+0.64*D15)/22.4</f>
        <v>1.2347182722215695</v>
      </c>
    </row>
    <row r="17" spans="1:1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</sheetData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36"/>
  <sheetViews>
    <sheetView zoomScaleNormal="100" workbookViewId="0">
      <selection activeCell="O27" sqref="O27"/>
    </sheetView>
  </sheetViews>
  <sheetFormatPr defaultRowHeight="15"/>
  <cols>
    <col min="1" max="1" width="10.7109375" customWidth="1"/>
    <col min="2" max="2" width="9.140625" customWidth="1"/>
  </cols>
  <sheetData>
    <row r="1" spans="1:18" ht="51" customHeight="1">
      <c r="A1" s="78" t="s">
        <v>24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8" ht="14.25" customHeight="1">
      <c r="A2" s="19" t="s">
        <v>96</v>
      </c>
      <c r="B2" s="20">
        <v>0.5</v>
      </c>
      <c r="C2" s="20" t="s">
        <v>97</v>
      </c>
      <c r="D2" s="14"/>
      <c r="E2" s="19" t="s">
        <v>99</v>
      </c>
      <c r="F2" s="20">
        <v>2.5</v>
      </c>
      <c r="G2" s="20" t="s">
        <v>97</v>
      </c>
      <c r="H2" s="14"/>
      <c r="I2" s="21" t="s">
        <v>105</v>
      </c>
      <c r="J2" s="14"/>
      <c r="K2" s="14">
        <v>3</v>
      </c>
      <c r="L2" s="14"/>
      <c r="M2" s="14"/>
      <c r="N2" s="14"/>
      <c r="O2" s="14"/>
    </row>
    <row r="3" spans="1:18" ht="14.25" customHeight="1">
      <c r="A3" s="19" t="s">
        <v>98</v>
      </c>
      <c r="B3" s="20">
        <v>1.5</v>
      </c>
      <c r="C3" s="20" t="s">
        <v>97</v>
      </c>
      <c r="D3" s="14"/>
      <c r="E3" s="19" t="s">
        <v>100</v>
      </c>
      <c r="F3" s="20">
        <v>2.25</v>
      </c>
      <c r="G3" s="20" t="s">
        <v>97</v>
      </c>
      <c r="H3" s="14"/>
      <c r="I3" s="14"/>
      <c r="J3" s="14"/>
      <c r="K3" s="14"/>
      <c r="L3" s="14"/>
      <c r="M3" s="14"/>
      <c r="N3" s="14"/>
      <c r="O3" s="14"/>
    </row>
    <row r="4" spans="1:18" ht="14.25" customHeight="1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8" ht="14.25" customHeight="1">
      <c r="A5" s="18" t="s">
        <v>101</v>
      </c>
      <c r="B5" s="54">
        <f>F3*COS(60/2*PI()/180)</f>
        <v>1.948557158514987</v>
      </c>
      <c r="C5" s="14"/>
      <c r="D5" s="14"/>
      <c r="E5" s="18" t="s">
        <v>102</v>
      </c>
      <c r="F5" s="53">
        <f>(B5+F3)/2</f>
        <v>2.0992785792574935</v>
      </c>
      <c r="G5" s="14"/>
      <c r="H5" s="14"/>
      <c r="I5" s="14"/>
      <c r="J5" s="14"/>
      <c r="K5" s="14"/>
      <c r="L5" s="14"/>
      <c r="M5" s="14"/>
      <c r="N5" s="14"/>
      <c r="O5" s="14"/>
    </row>
    <row r="6" spans="1:18" ht="14.25" customHeight="1">
      <c r="A6" s="18" t="s">
        <v>103</v>
      </c>
      <c r="B6" s="67">
        <f>2*F3*F5+2*F2*B5+F2*3.14*F3*60/180+F2*F3</f>
        <v>30.702039399233655</v>
      </c>
      <c r="C6" s="14"/>
      <c r="D6" s="14"/>
      <c r="E6" s="14" t="s">
        <v>104</v>
      </c>
      <c r="F6" s="69">
        <f>K2*(2*3.14*B2/2*B3+2*3.14*(B2/2)^2)</f>
        <v>8.2424999999999997</v>
      </c>
      <c r="G6" s="14"/>
      <c r="H6" s="14"/>
      <c r="I6" s="14"/>
      <c r="J6" s="14"/>
      <c r="K6" s="14"/>
      <c r="L6" s="14"/>
      <c r="M6" s="14"/>
      <c r="N6" s="14"/>
      <c r="O6" s="14"/>
    </row>
    <row r="7" spans="1:18" ht="14.25" customHeight="1">
      <c r="A7" s="15" t="s">
        <v>106</v>
      </c>
      <c r="B7" s="68">
        <f>F3*F2*F5</f>
        <v>11.8084420083234</v>
      </c>
      <c r="C7" s="14"/>
      <c r="E7" s="14" t="s">
        <v>107</v>
      </c>
      <c r="F7" s="70">
        <f>K2*3.14*(B2/2)^2*B3</f>
        <v>0.88312499999999994</v>
      </c>
      <c r="H7" s="14"/>
      <c r="I7" s="14"/>
      <c r="J7" s="14"/>
      <c r="K7" s="14"/>
      <c r="L7" s="14"/>
      <c r="M7" s="14"/>
      <c r="N7" s="14"/>
      <c r="O7" s="14"/>
    </row>
    <row r="8" spans="1:18" ht="14.25" customHeight="1">
      <c r="A8" s="18" t="s">
        <v>108</v>
      </c>
      <c r="B8" s="67">
        <f>3.5*(B7-F7)/(B6+F6)</f>
        <v>0.98187345694694117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18" ht="14.25" customHeight="1">
      <c r="A9" s="22" t="s">
        <v>109</v>
      </c>
      <c r="B9" s="67">
        <f>F6/(F6+B6)</f>
        <v>0.21164713017923623</v>
      </c>
      <c r="C9" s="14"/>
      <c r="D9" s="14"/>
      <c r="E9" s="22" t="s">
        <v>110</v>
      </c>
      <c r="F9" s="71">
        <f>1-B9</f>
        <v>0.7883528698207638</v>
      </c>
      <c r="G9" s="14"/>
      <c r="H9" s="14"/>
      <c r="I9" s="14"/>
      <c r="J9" s="14"/>
      <c r="K9" s="14"/>
      <c r="L9" s="14"/>
      <c r="M9" s="14"/>
      <c r="N9" s="14"/>
      <c r="O9" s="14"/>
    </row>
    <row r="10" spans="1:18" ht="14.25" customHeight="1">
      <c r="A10" s="18" t="s">
        <v>111</v>
      </c>
      <c r="B10" s="67">
        <f>'1 часть'!B15/100*0.0981</f>
        <v>8.5171094103550886E-3</v>
      </c>
      <c r="C10" s="14"/>
      <c r="D10" s="14"/>
      <c r="E10" s="14" t="s">
        <v>112</v>
      </c>
      <c r="F10" s="71">
        <f>'1 часть'!C15/100*0.0981</f>
        <v>1.772123442498966E-2</v>
      </c>
      <c r="G10" s="14"/>
      <c r="H10" s="14" t="s">
        <v>113</v>
      </c>
      <c r="I10" s="71">
        <f>B10+F10</f>
        <v>2.6238343835344749E-2</v>
      </c>
      <c r="J10" s="14"/>
      <c r="K10" s="14"/>
      <c r="L10" s="14"/>
      <c r="M10" s="14"/>
      <c r="N10" s="14"/>
      <c r="O10" s="14"/>
    </row>
    <row r="11" spans="1:18" ht="14.25" customHeight="1">
      <c r="A11" s="18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8" ht="15.75" customHeight="1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8">
      <c r="A13" t="s">
        <v>25</v>
      </c>
      <c r="B13" t="s">
        <v>26</v>
      </c>
      <c r="C13" t="s">
        <v>27</v>
      </c>
      <c r="D13" t="s">
        <v>28</v>
      </c>
      <c r="E13" t="s">
        <v>29</v>
      </c>
      <c r="F13" t="s">
        <v>30</v>
      </c>
      <c r="G13" t="s">
        <v>31</v>
      </c>
      <c r="H13" t="s">
        <v>297</v>
      </c>
      <c r="I13" t="s">
        <v>298</v>
      </c>
      <c r="J13" t="s">
        <v>299</v>
      </c>
      <c r="K13" t="s">
        <v>300</v>
      </c>
      <c r="L13" t="s">
        <v>301</v>
      </c>
      <c r="M13" t="s">
        <v>302</v>
      </c>
      <c r="N13" t="s">
        <v>303</v>
      </c>
      <c r="O13" t="s">
        <v>304</v>
      </c>
      <c r="P13" t="s">
        <v>305</v>
      </c>
      <c r="Q13" t="s">
        <v>306</v>
      </c>
      <c r="R13" t="s">
        <v>307</v>
      </c>
    </row>
    <row r="14" spans="1:18">
      <c r="A14" s="5">
        <v>500</v>
      </c>
      <c r="B14" s="5">
        <f t="shared" ref="B14:B34" si="0">A14+273</f>
        <v>773</v>
      </c>
      <c r="C14" s="25">
        <f>0.8*(1+20*$F$10)*(1-0.38*B14/1000)/SQRT(10*$I$10*$B$8)</f>
        <v>1.5076949813478402</v>
      </c>
      <c r="D14" s="25">
        <f t="shared" ref="D14:D34" si="1">1-EXP(-10*C14*$I$10*$B$8)</f>
        <v>0.3218748615041398</v>
      </c>
      <c r="E14" s="25">
        <f>5.67*0.8*D14/(D14+$B$9*(1-D14))</f>
        <v>3.1371515456171735</v>
      </c>
      <c r="F14" s="25">
        <f t="shared" ref="F14:F18" si="2">5.67*0.8*(1+(1-D14)*$F$6/$B$6)/(1+(1-D14)*(1-0.8)*$F$6/$B$6)</f>
        <v>5.1734301931987225</v>
      </c>
      <c r="G14" s="25">
        <f>5.67*0.8*$F$9/(1-$B$9*(1-0.8))</f>
        <v>3.7340278742247746</v>
      </c>
      <c r="H14" s="5">
        <f>100*('3 часть'!$B$24/E14+((20+273)/100)^4)^(1/4)-273</f>
        <v>1195.5069918896252</v>
      </c>
      <c r="I14" s="5">
        <f>100*('3 часть'!E$24/E14+((600+273)/100)^4)^(1/4)-273</f>
        <v>1181.3003484183109</v>
      </c>
      <c r="J14" s="5">
        <f>100*('3 часть'!J$24/E14+((600+273)/100)^4)^(1/4)-273</f>
        <v>1323.8291395118208</v>
      </c>
      <c r="K14" s="5">
        <f>100*('3 часть'!M$24/E14+((1180+273)/100)^4)^(1/4)-273</f>
        <v>1244.498492241597</v>
      </c>
      <c r="L14" s="5">
        <f>100*('3 часть'!B$24/F14+((20+273)/100)^4)^(1/4)-273</f>
        <v>1023.214489742476</v>
      </c>
      <c r="M14" s="5">
        <f>100*('3 часть'!E$24/F14+((600+273)/100)^4)^(1/4)-273</f>
        <v>1036.5709742228908</v>
      </c>
      <c r="N14" s="5">
        <f>100*('3 часть'!J$24/F14+((600+273)/100)^4)^(1/4)-273</f>
        <v>1156.1166514552986</v>
      </c>
      <c r="O14" s="5">
        <f>100*('3 часть'!M$24/F14+((1180+273)/100)^4)^(1/4)-273</f>
        <v>1220.1028291226437</v>
      </c>
      <c r="P14" s="5">
        <f>100*('3 часть'!B$77/E14+((1180+273)/100)^4)^(1/4)-273</f>
        <v>1210.1202424685575</v>
      </c>
      <c r="Q14" s="5">
        <f>100*('3 часть'!B$77/G14+((1180+273)/100)^4)^(1/4)-273</f>
        <v>1205.4280596402834</v>
      </c>
      <c r="R14" s="5">
        <f>100*('3 часть'!B$77/F14+((1180+273)/100)^4)^(1/4)-273</f>
        <v>1198.4848990007026</v>
      </c>
    </row>
    <row r="15" spans="1:18">
      <c r="A15" s="5">
        <f>A14+50</f>
        <v>550</v>
      </c>
      <c r="B15" s="5">
        <f t="shared" si="0"/>
        <v>823</v>
      </c>
      <c r="C15" s="25">
        <f t="shared" ref="C15:C34" si="3">0.8*(1+20*$F$10)*(1-0.38*B15/1000)/SQRT(10*$I$10*$B$8)</f>
        <v>1.4671345579264246</v>
      </c>
      <c r="D15" s="25">
        <f t="shared" si="1"/>
        <v>0.31475165863349908</v>
      </c>
      <c r="E15" s="25">
        <f t="shared" ref="E15:E34" si="4">5.67*0.8*D15/(D15+$B$9*(1-D15))</f>
        <v>3.1051932436692704</v>
      </c>
      <c r="F15" s="25">
        <f t="shared" si="2"/>
        <v>5.1798883098195745</v>
      </c>
      <c r="G15" s="25">
        <f t="shared" ref="G15:G34" si="5">5.67*0.8*$F$9/(1-$B$9*(1-0.8))</f>
        <v>3.7340278742247746</v>
      </c>
      <c r="H15" s="5">
        <f>100*('3 часть'!$B$24/E15+((20+273)/100)^4)^(1/4)-273</f>
        <v>1199.2649814465715</v>
      </c>
      <c r="I15" s="5">
        <f>100*('3 часть'!E$24/E15+((600+273)/100)^4)^(1/4)-273</f>
        <v>1184.5454639546331</v>
      </c>
      <c r="J15" s="5">
        <f>100*('3 часть'!J$24/E15+((600+273)/100)^4)^(1/4)-273</f>
        <v>1327.5576145970344</v>
      </c>
      <c r="K15" s="5">
        <f>100*('3 часть'!M$24/E15+((1180+273)/100)^4)^(1/4)-273</f>
        <v>1245.120785952156</v>
      </c>
      <c r="L15" s="5">
        <f>100*('3 часть'!B$24/F15+((20+273)/100)^4)^(1/4)-273</f>
        <v>1022.8113369464647</v>
      </c>
      <c r="M15" s="5">
        <f>100*('3 часть'!E$24/F15+((600+273)/100)^4)^(1/4)-273</f>
        <v>1036.2432797914387</v>
      </c>
      <c r="N15" s="5">
        <f>100*('3 часть'!J$24/F15+((600+273)/100)^4)^(1/4)-273</f>
        <v>1155.7330798023477</v>
      </c>
      <c r="O15" s="5">
        <f>100*('3 часть'!M$24/F15+((1180+273)/100)^4)^(1/4)-273</f>
        <v>1220.0548064334</v>
      </c>
      <c r="P15" s="5">
        <f>100*('3 часть'!B$77/E15+((1180+273)/100)^4)^(1/4)-273</f>
        <v>1210.4208290844408</v>
      </c>
      <c r="Q15" s="5">
        <f>100*('3 часть'!B$77/G15+((1180+273)/100)^4)^(1/4)-273</f>
        <v>1205.4280596402834</v>
      </c>
      <c r="R15" s="5">
        <f>100*('3 часть'!B$77/F15+((1180+273)/100)^4)^(1/4)-273</f>
        <v>1198.4622827470387</v>
      </c>
    </row>
    <row r="16" spans="1:18">
      <c r="A16" s="5">
        <f t="shared" ref="A16:A34" si="6">A15+50</f>
        <v>600</v>
      </c>
      <c r="B16" s="5">
        <f t="shared" si="0"/>
        <v>873</v>
      </c>
      <c r="C16" s="25">
        <f t="shared" si="3"/>
        <v>1.4265741345050089</v>
      </c>
      <c r="D16" s="25">
        <f t="shared" si="1"/>
        <v>0.30755363178678696</v>
      </c>
      <c r="E16" s="25">
        <f t="shared" si="4"/>
        <v>3.0720963391965914</v>
      </c>
      <c r="F16" s="25">
        <f t="shared" si="2"/>
        <v>5.1864094258864508</v>
      </c>
      <c r="G16" s="25">
        <f t="shared" si="5"/>
        <v>3.7340278742247746</v>
      </c>
      <c r="H16" s="5">
        <f>100*('3 часть'!$B$24/E16+((20+273)/100)^4)^(1/4)-273</f>
        <v>1203.2082136351919</v>
      </c>
      <c r="I16" s="5">
        <f>100*('3 часть'!E$24/E16+((600+273)/100)^4)^(1/4)-273</f>
        <v>1187.953943987507</v>
      </c>
      <c r="J16" s="5">
        <f>100*('3 часть'!J$24/E16+((600+273)/100)^4)^(1/4)-273</f>
        <v>1331.4725507757644</v>
      </c>
      <c r="K16" s="5">
        <f>100*('3 часть'!M$24/E16+((1180+273)/100)^4)^(1/4)-273</f>
        <v>1245.7780663529202</v>
      </c>
      <c r="L16" s="5">
        <f>100*('3 часть'!B$24/F16+((20+273)/100)^4)^(1/4)-273</f>
        <v>1022.4048893796339</v>
      </c>
      <c r="M16" s="5">
        <f>100*('3 часть'!E$24/F16+((600+273)/100)^4)^(1/4)-273</f>
        <v>1035.9129678239349</v>
      </c>
      <c r="N16" s="5">
        <f>100*('3 часть'!J$24/F16+((600+273)/100)^4)^(1/4)-273</f>
        <v>1155.3464231041969</v>
      </c>
      <c r="O16" s="5">
        <f>100*('3 часть'!M$24/F16+((1180+273)/100)^4)^(1/4)-273</f>
        <v>1220.0064319457256</v>
      </c>
      <c r="P16" s="5">
        <f>100*('3 часть'!B$77/E16+((1180+273)/100)^4)^(1/4)-273</f>
        <v>1210.7385183004983</v>
      </c>
      <c r="Q16" s="5">
        <f>100*('3 часть'!B$77/G16+((1180+273)/100)^4)^(1/4)-273</f>
        <v>1205.4280596402834</v>
      </c>
      <c r="R16" s="5">
        <f>100*('3 часть'!B$77/F16+((1180+273)/100)^4)^(1/4)-273</f>
        <v>1198.4395019661472</v>
      </c>
    </row>
    <row r="17" spans="1:18">
      <c r="A17" s="5">
        <f t="shared" si="6"/>
        <v>650</v>
      </c>
      <c r="B17" s="5">
        <f t="shared" si="0"/>
        <v>923</v>
      </c>
      <c r="C17" s="25">
        <f t="shared" si="3"/>
        <v>1.3860137110835933</v>
      </c>
      <c r="D17" s="25">
        <f t="shared" si="1"/>
        <v>0.300279994993493</v>
      </c>
      <c r="E17" s="25">
        <f t="shared" si="4"/>
        <v>3.0378007861789773</v>
      </c>
      <c r="F17" s="25">
        <f t="shared" si="2"/>
        <v>5.1929941065037957</v>
      </c>
      <c r="G17" s="25">
        <f t="shared" si="5"/>
        <v>3.7340278742247746</v>
      </c>
      <c r="H17" s="5">
        <f>100*('3 часть'!$B$24/E17+((20+273)/100)^4)^(1/4)-273</f>
        <v>1207.350727571984</v>
      </c>
      <c r="I17" s="5">
        <f>100*('3 часть'!E$24/E17+((600+273)/100)^4)^(1/4)-273</f>
        <v>1191.5383929816207</v>
      </c>
      <c r="J17" s="5">
        <f>100*('3 часть'!J$24/E17+((600+273)/100)^4)^(1/4)-273</f>
        <v>1335.5882528518077</v>
      </c>
      <c r="K17" s="5">
        <f>100*('3 часть'!M$24/E17+((1180+273)/100)^4)^(1/4)-273</f>
        <v>1246.4733312762589</v>
      </c>
      <c r="L17" s="5">
        <f>100*('3 часть'!B$24/F17+((20+273)/100)^4)^(1/4)-273</f>
        <v>1021.9951286459207</v>
      </c>
      <c r="M17" s="5">
        <f>100*('3 часть'!E$24/F17+((600+273)/100)^4)^(1/4)-273</f>
        <v>1035.5800249230429</v>
      </c>
      <c r="N17" s="5">
        <f>100*('3 часть'!J$24/F17+((600+273)/100)^4)^(1/4)-273</f>
        <v>1154.9566651415141</v>
      </c>
      <c r="O17" s="5">
        <f>100*('3 часть'!M$24/F17+((1180+273)/100)^4)^(1/4)-273</f>
        <v>1219.957704449404</v>
      </c>
      <c r="P17" s="5">
        <f>100*('3 часть'!B$77/E17+((1180+273)/100)^4)^(1/4)-273</f>
        <v>1211.0747937202866</v>
      </c>
      <c r="Q17" s="5">
        <f>100*('3 часть'!B$77/G17+((1180+273)/100)^4)^(1/4)-273</f>
        <v>1205.4280596402834</v>
      </c>
      <c r="R17" s="5">
        <f>100*('3 часть'!B$77/F17+((1180+273)/100)^4)^(1/4)-273</f>
        <v>1198.4165561134269</v>
      </c>
    </row>
    <row r="18" spans="1:18">
      <c r="A18" s="5">
        <f t="shared" si="6"/>
        <v>700</v>
      </c>
      <c r="B18" s="5">
        <f t="shared" si="0"/>
        <v>973</v>
      </c>
      <c r="C18" s="25">
        <f t="shared" si="3"/>
        <v>1.3454532876621779</v>
      </c>
      <c r="D18" s="25">
        <f t="shared" si="1"/>
        <v>0.29292995402706834</v>
      </c>
      <c r="E18" s="25">
        <f t="shared" si="4"/>
        <v>3.0022422449214274</v>
      </c>
      <c r="F18" s="25">
        <f t="shared" si="2"/>
        <v>5.1996429208380412</v>
      </c>
      <c r="G18" s="25">
        <f t="shared" si="5"/>
        <v>3.7340278742247746</v>
      </c>
      <c r="H18" s="5">
        <f>100*('3 часть'!$B$24/E18+((20+273)/100)^4)^(1/4)-273</f>
        <v>1211.7080412474454</v>
      </c>
      <c r="I18" s="5">
        <f>100*('3 часть'!E$24/E18+((600+273)/100)^4)^(1/4)-273</f>
        <v>1195.3127622647098</v>
      </c>
      <c r="J18" s="5">
        <f>100*('3 часть'!J$24/E18+((600+273)/100)^4)^(1/4)-273</f>
        <v>1339.920547125555</v>
      </c>
      <c r="K18" s="5">
        <f>100*('3 часть'!M$24/E18+((1180+273)/100)^4)^(1/4)-273</f>
        <v>1247.2099311915035</v>
      </c>
      <c r="L18" s="5">
        <f>100*('3 часть'!B$24/F18+((20+273)/100)^4)^(1/4)-273</f>
        <v>1021.5820364027047</v>
      </c>
      <c r="M18" s="5">
        <f>100*('3 часть'!E$24/F18+((600+273)/100)^4)^(1/4)-273</f>
        <v>1035.2444377615295</v>
      </c>
      <c r="N18" s="5">
        <f>100*('3 часть'!J$24/F18+((600+273)/100)^4)^(1/4)-273</f>
        <v>1154.563789768044</v>
      </c>
      <c r="O18" s="5">
        <f>100*('3 часть'!M$24/F18+((1180+273)/100)^4)^(1/4)-273</f>
        <v>1219.9086227553053</v>
      </c>
      <c r="P18" s="5">
        <f>100*('3 часть'!B$77/E18+((1180+273)/100)^4)^(1/4)-273</f>
        <v>1211.4313156449025</v>
      </c>
      <c r="Q18" s="5">
        <f>100*('3 часть'!B$77/G18+((1180+273)/100)^4)^(1/4)-273</f>
        <v>1205.4280596402834</v>
      </c>
      <c r="R18" s="5">
        <f>100*('3 часть'!B$77/F18+((1180+273)/100)^4)^(1/4)-273</f>
        <v>1198.3934446545068</v>
      </c>
    </row>
    <row r="19" spans="1:18">
      <c r="A19" s="5">
        <f t="shared" si="6"/>
        <v>750</v>
      </c>
      <c r="B19" s="5">
        <f t="shared" si="0"/>
        <v>1023</v>
      </c>
      <c r="C19" s="25">
        <f>0.8*(1+20*$F$10)*(1-0.38*B19/1000)/SQRT(10*$I$10*$B$8)</f>
        <v>1.304892864240762</v>
      </c>
      <c r="D19" s="25">
        <f>1-EXP(-10*C19*$I$10*$B$8)</f>
        <v>0.28550270631820152</v>
      </c>
      <c r="E19" s="25">
        <f t="shared" si="4"/>
        <v>2.9653516912233226</v>
      </c>
      <c r="F19" s="25">
        <f>5.67*0.8*(1+(1-D19)*$F$6/$B$6)/(1+(1-D19)*(1-0.8)*$F$6/$B$6)</f>
        <v>5.2063564421256681</v>
      </c>
      <c r="G19" s="25">
        <f t="shared" si="5"/>
        <v>3.7340278742247746</v>
      </c>
      <c r="H19" s="5">
        <f>100*('3 часть'!$B$24/E19+((20+273)/100)^4)^(1/4)-273</f>
        <v>1216.2973545702253</v>
      </c>
      <c r="I19" s="5">
        <f>100*('3 часть'!E$24/E19+((600+273)/100)^4)^(1/4)-273</f>
        <v>1199.292537029188</v>
      </c>
      <c r="J19" s="5">
        <f>100*('3 часть'!J$24/E19+((600+273)/100)^4)^(1/4)-273</f>
        <v>1344.4869918638142</v>
      </c>
      <c r="K19" s="5">
        <f>100*('3 часть'!M$24/E19+((1180+273)/100)^4)^(1/4)-273</f>
        <v>1247.9916226491368</v>
      </c>
      <c r="L19" s="5">
        <f>100*('3 часть'!B$24/F19+((20+273)/100)^4)^(1/4)-273</f>
        <v>1021.1655943642484</v>
      </c>
      <c r="M19" s="5">
        <f>100*('3 часть'!E$24/F19+((600+273)/100)^4)^(1/4)-273</f>
        <v>1034.9061930853502</v>
      </c>
      <c r="N19" s="5">
        <f>100*('3 часть'!J$24/F19+((600+273)/100)^4)^(1/4)-273</f>
        <v>1154.1677809141247</v>
      </c>
      <c r="O19" s="5">
        <f>100*('3 часть'!M$24/F19+((1180+273)/100)^4)^(1/4)-273</f>
        <v>1219.8591856958926</v>
      </c>
      <c r="P19" s="5">
        <f>100*('3 часть'!B$77/E19+((1180+273)/100)^4)^(1/4)-273</f>
        <v>1211.8099481894242</v>
      </c>
      <c r="Q19" s="5">
        <f>100*('3 часть'!B$77/G19+((1180+273)/100)^4)^(1/4)-273</f>
        <v>1205.4280596402834</v>
      </c>
      <c r="R19" s="5">
        <f>100*('3 часть'!B$77/F19+((1180+273)/100)^4)^(1/4)-273</f>
        <v>1198.3701670654877</v>
      </c>
    </row>
    <row r="20" spans="1:18">
      <c r="A20" s="5">
        <f t="shared" si="6"/>
        <v>800</v>
      </c>
      <c r="B20" s="5">
        <f t="shared" si="0"/>
        <v>1073</v>
      </c>
      <c r="C20" s="25">
        <f t="shared" si="3"/>
        <v>1.2643324408193466</v>
      </c>
      <c r="D20" s="25">
        <f t="shared" si="1"/>
        <v>0.27799744086718448</v>
      </c>
      <c r="E20" s="25">
        <f t="shared" si="4"/>
        <v>2.9270549820652798</v>
      </c>
      <c r="F20" s="25">
        <f t="shared" ref="F20:F34" si="7">5.67*0.8*(1+(1-D20)*$F$6/$B$6)/(1+(1-D20)*(1-0.8)*$F$6/$B$6)</f>
        <v>5.2131352476807837</v>
      </c>
      <c r="G20" s="25">
        <f t="shared" si="5"/>
        <v>3.7340278742247746</v>
      </c>
      <c r="H20" s="5">
        <f>100*('3 часть'!$B$24/E20+((20+273)/100)^4)^(1/4)-273</f>
        <v>1221.137787286787</v>
      </c>
      <c r="I20" s="5">
        <f>100*('3 часть'!E$24/E20+((600+273)/100)^4)^(1/4)-273</f>
        <v>1203.4949557323371</v>
      </c>
      <c r="J20" s="5">
        <f>100*('3 часть'!J$24/E20+((600+273)/100)^4)^(1/4)-273</f>
        <v>1349.3071241285445</v>
      </c>
      <c r="K20" s="5">
        <f>100*('3 часть'!M$24/E20+((1180+273)/100)^4)^(1/4)-273</f>
        <v>1248.8226317525905</v>
      </c>
      <c r="L20" s="5">
        <f>100*('3 часть'!B$24/F20+((20+273)/100)^4)^(1/4)-273</f>
        <v>1020.7457843051789</v>
      </c>
      <c r="M20" s="5">
        <f>100*('3 часть'!E$24/F20+((600+273)/100)^4)^(1/4)-273</f>
        <v>1034.5652777167702</v>
      </c>
      <c r="N20" s="5">
        <f>100*('3 часть'!J$24/F20+((600+273)/100)^4)^(1/4)-273</f>
        <v>1153.7686225902542</v>
      </c>
      <c r="O20" s="5">
        <f>100*('3 часть'!M$24/F20+((1180+273)/100)^4)^(1/4)-273</f>
        <v>1219.8093921257357</v>
      </c>
      <c r="P20" s="5">
        <f>100*('3 часть'!B$77/E20+((1180+273)/100)^4)^(1/4)-273</f>
        <v>1212.2127915516205</v>
      </c>
      <c r="Q20" s="5">
        <f>100*('3 часть'!B$77/G20+((1180+273)/100)^4)^(1/4)-273</f>
        <v>1205.4280596402834</v>
      </c>
      <c r="R20" s="5">
        <f>100*('3 часть'!B$77/F20+((1180+273)/100)^4)^(1/4)-273</f>
        <v>1198.3467228331808</v>
      </c>
    </row>
    <row r="21" spans="1:18">
      <c r="A21" s="5">
        <f t="shared" si="6"/>
        <v>850</v>
      </c>
      <c r="B21" s="5">
        <f t="shared" si="0"/>
        <v>1123</v>
      </c>
      <c r="C21" s="25">
        <f t="shared" si="3"/>
        <v>1.2237720173979312</v>
      </c>
      <c r="D21" s="25">
        <f t="shared" si="1"/>
        <v>0.27041333815535706</v>
      </c>
      <c r="E21" s="25">
        <f t="shared" si="4"/>
        <v>2.8872723720630402</v>
      </c>
      <c r="F21" s="25">
        <f t="shared" si="7"/>
        <v>5.2199799189021725</v>
      </c>
      <c r="G21" s="25">
        <f t="shared" si="5"/>
        <v>3.7340278742247746</v>
      </c>
      <c r="H21" s="5">
        <f>100*('3 часть'!$B$24/E21+((20+273)/100)^4)^(1/4)-273</f>
        <v>1226.2506590620121</v>
      </c>
      <c r="I21" s="5">
        <f>100*('3 часть'!E$24/E21+((600+273)/100)^4)^(1/4)-273</f>
        <v>1207.9392687076838</v>
      </c>
      <c r="J21" s="5">
        <f>100*('3 часть'!J$24/E21+((600+273)/100)^4)^(1/4)-273</f>
        <v>1354.4027505927183</v>
      </c>
      <c r="K21" s="5">
        <f>100*('3 часть'!M$24/E21+((1180+273)/100)^4)^(1/4)-273</f>
        <v>1249.7077299245207</v>
      </c>
      <c r="L21" s="5">
        <f>100*('3 часть'!B$24/F21+((20+273)/100)^4)^(1/4)-273</f>
        <v>1020.322588064018</v>
      </c>
      <c r="M21" s="5">
        <f>100*('3 часть'!E$24/F21+((600+273)/100)^4)^(1/4)-273</f>
        <v>1034.2216785575195</v>
      </c>
      <c r="N21" s="5">
        <f>100*('3 часть'!J$24/F21+((600+273)/100)^4)^(1/4)-273</f>
        <v>1153.3662988906963</v>
      </c>
      <c r="O21" s="5">
        <f>100*('3 часть'!M$24/F21+((1180+273)/100)^4)^(1/4)-273</f>
        <v>1219.7592409220183</v>
      </c>
      <c r="P21" s="5">
        <f>100*('3 часть'!B$77/E21+((1180+273)/100)^4)^(1/4)-273</f>
        <v>1212.642220612501</v>
      </c>
      <c r="Q21" s="5">
        <f>100*('3 часть'!B$77/G21+((1180+273)/100)^4)^(1/4)-273</f>
        <v>1205.4280596402834</v>
      </c>
      <c r="R21" s="5">
        <f>100*('3 часть'!B$77/F21+((1180+273)/100)^4)^(1/4)-273</f>
        <v>1198.3231114553471</v>
      </c>
    </row>
    <row r="22" spans="1:18">
      <c r="A22" s="5">
        <f t="shared" si="6"/>
        <v>900</v>
      </c>
      <c r="B22" s="5">
        <f t="shared" si="0"/>
        <v>1173</v>
      </c>
      <c r="C22" s="25">
        <f t="shared" si="3"/>
        <v>1.1832115939765155</v>
      </c>
      <c r="D22" s="25">
        <f t="shared" si="1"/>
        <v>0.26274957005562227</v>
      </c>
      <c r="E22" s="25">
        <f t="shared" si="4"/>
        <v>2.8459179740519041</v>
      </c>
      <c r="F22" s="25">
        <f t="shared" si="7"/>
        <v>5.2268910412798215</v>
      </c>
      <c r="G22" s="25">
        <f t="shared" si="5"/>
        <v>3.7340278742247746</v>
      </c>
      <c r="H22" s="5">
        <f>100*('3 часть'!$B$24/E22+((20+273)/100)^4)^(1/4)-273</f>
        <v>1231.659820819445</v>
      </c>
      <c r="I22" s="5">
        <f>100*('3 часть'!E$24/E22+((600+273)/100)^4)^(1/4)-273</f>
        <v>1212.6470445042087</v>
      </c>
      <c r="J22" s="5">
        <f>100*('3 часть'!J$24/E22+((600+273)/100)^4)^(1/4)-273</f>
        <v>1359.7982918762664</v>
      </c>
      <c r="K22" s="5">
        <f>100*('3 часть'!M$24/E22+((1180+273)/100)^4)^(1/4)-273</f>
        <v>1250.6523248398719</v>
      </c>
      <c r="L22" s="5">
        <f>100*('3 часть'!B$24/F22+((20+273)/100)^4)^(1/4)-273</f>
        <v>1019.8959875467588</v>
      </c>
      <c r="M22" s="5">
        <f>100*('3 часть'!E$24/F22+((600+273)/100)^4)^(1/4)-273</f>
        <v>1033.8753825919898</v>
      </c>
      <c r="N22" s="5">
        <f>100*('3 часть'!J$24/F22+((600+273)/100)^4)^(1/4)-273</f>
        <v>1152.960793997132</v>
      </c>
      <c r="O22" s="5">
        <f>100*('3 часть'!M$24/F22+((1180+273)/100)^4)^(1/4)-273</f>
        <v>1219.7087309850563</v>
      </c>
      <c r="P22" s="5">
        <f>100*('3 часть'!B$77/E22+((1180+273)/100)^4)^(1/4)-273</f>
        <v>1213.1009313674135</v>
      </c>
      <c r="Q22" s="5">
        <f>100*('3 часть'!B$77/G22+((1180+273)/100)^4)^(1/4)-273</f>
        <v>1205.4280596402834</v>
      </c>
      <c r="R22" s="5">
        <f>100*('3 часть'!B$77/F22+((1180+273)/100)^4)^(1/4)-273</f>
        <v>1198.2993324409406</v>
      </c>
    </row>
    <row r="23" spans="1:18">
      <c r="A23" s="5">
        <f t="shared" si="6"/>
        <v>950</v>
      </c>
      <c r="B23" s="5">
        <f t="shared" si="0"/>
        <v>1223</v>
      </c>
      <c r="C23" s="25">
        <f t="shared" si="3"/>
        <v>1.1426511705551001</v>
      </c>
      <c r="D23" s="25">
        <f t="shared" si="1"/>
        <v>0.25500529974202013</v>
      </c>
      <c r="E23" s="25">
        <f t="shared" si="4"/>
        <v>2.802899156122741</v>
      </c>
      <c r="F23" s="25">
        <f t="shared" si="7"/>
        <v>5.2338692044009081</v>
      </c>
      <c r="G23" s="25">
        <f t="shared" si="5"/>
        <v>3.7340278742247746</v>
      </c>
      <c r="H23" s="5">
        <f>100*('3 часть'!$B$24/E23+((20+273)/100)^4)^(1/4)-273</f>
        <v>1237.3920487824466</v>
      </c>
      <c r="I23" s="5">
        <f>100*('3 часть'!E$24/E23+((600+273)/100)^4)^(1/4)-273</f>
        <v>1217.6425346733065</v>
      </c>
      <c r="J23" s="5">
        <f>100*('3 часть'!J$24/E23+((600+273)/100)^4)^(1/4)-273</f>
        <v>1365.5211923971358</v>
      </c>
      <c r="K23" s="5">
        <f>100*('3 часть'!M$24/E23+((1180+273)/100)^4)^(1/4)-273</f>
        <v>1251.6625701918508</v>
      </c>
      <c r="L23" s="5">
        <f>100*('3 часть'!B$24/F23+((20+273)/100)^4)^(1/4)-273</f>
        <v>1019.4659647304854</v>
      </c>
      <c r="M23" s="5">
        <f>100*('3 часть'!E$24/F23+((600+273)/100)^4)^(1/4)-273</f>
        <v>1033.526376890464</v>
      </c>
      <c r="N23" s="5">
        <f>100*('3 часть'!J$24/F23+((600+273)/100)^4)^(1/4)-273</f>
        <v>1152.5520921823515</v>
      </c>
      <c r="O23" s="5">
        <f>100*('3 часть'!M$24/F23+((1180+273)/100)^4)^(1/4)-273</f>
        <v>1219.6578612388162</v>
      </c>
      <c r="P23" s="5">
        <f>100*('3 часть'!B$77/E23+((1180+273)/100)^4)^(1/4)-273</f>
        <v>1213.591997106038</v>
      </c>
      <c r="Q23" s="5">
        <f>100*('3 часть'!B$77/G23+((1180+273)/100)^4)^(1/4)-273</f>
        <v>1205.4280596402834</v>
      </c>
      <c r="R23" s="5">
        <f>100*('3 часть'!B$77/F23+((1180+273)/100)^4)^(1/4)-273</f>
        <v>1198.2753853103507</v>
      </c>
    </row>
    <row r="24" spans="1:18">
      <c r="A24" s="5">
        <f t="shared" si="6"/>
        <v>1000</v>
      </c>
      <c r="B24" s="5">
        <f t="shared" si="0"/>
        <v>1273</v>
      </c>
      <c r="C24" s="25">
        <f t="shared" si="3"/>
        <v>1.1020907471336843</v>
      </c>
      <c r="D24" s="25">
        <f t="shared" si="1"/>
        <v>0.24717968159835346</v>
      </c>
      <c r="E24" s="25">
        <f>5.67*0.8*D24/(D24+$B$9*(1-D24))</f>
        <v>2.7581158662002712</v>
      </c>
      <c r="F24" s="72">
        <f t="shared" si="7"/>
        <v>5.240915001955222</v>
      </c>
      <c r="G24" s="25">
        <f t="shared" si="5"/>
        <v>3.7340278742247746</v>
      </c>
      <c r="H24" s="5">
        <f>100*('3 часть'!$B$24/E24+((20+273)/100)^4)^(1/4)-273</f>
        <v>1243.4775157086301</v>
      </c>
      <c r="I24" s="5">
        <f>100*('3 часть'!E$24/E24+((600+273)/100)^4)^(1/4)-273</f>
        <v>1222.95311059547</v>
      </c>
      <c r="J24" s="5">
        <f>100*('3 часть'!J$24/E24+((600+273)/100)^4)^(1/4)-273</f>
        <v>1371.6024109409202</v>
      </c>
      <c r="K24" s="5">
        <f>100*('3 часть'!M$24/E24+((1180+273)/100)^4)^(1/4)-273</f>
        <v>1252.7454990064348</v>
      </c>
      <c r="L24" s="57">
        <f>100*('3 часть'!B$24/F24+((20+273)/100)^4)^(1/4)-273</f>
        <v>1019.0325016670424</v>
      </c>
      <c r="M24" s="57">
        <f>100*('3 часть'!E$24/F24+((600+273)/100)^4)^(1/4)-273</f>
        <v>1033.174648612382</v>
      </c>
      <c r="N24" s="5">
        <f>100*('3 часть'!J$24/F24+((600+273)/100)^4)^(1/4)-273</f>
        <v>1152.1401778139925</v>
      </c>
      <c r="O24" s="5">
        <f>100*('3 часть'!M$24/F24+((1180+273)/100)^4)^(1/4)-273</f>
        <v>1219.6066306314322</v>
      </c>
      <c r="P24" s="5">
        <f>100*('3 часть'!B$77/E24+((1180+273)/100)^4)^(1/4)-273</f>
        <v>1214.1189368162575</v>
      </c>
      <c r="Q24" s="5">
        <f>100*('3 часть'!B$77/G24+((1180+273)/100)^4)^(1/4)-273</f>
        <v>1205.4280596402834</v>
      </c>
      <c r="R24" s="5">
        <f>100*('3 часть'!B$77/F24+((1180+273)/100)^4)^(1/4)-273</f>
        <v>1198.2512695956461</v>
      </c>
    </row>
    <row r="25" spans="1:18">
      <c r="A25" s="5">
        <f t="shared" si="6"/>
        <v>1050</v>
      </c>
      <c r="B25" s="5">
        <f t="shared" si="0"/>
        <v>1323</v>
      </c>
      <c r="C25" s="25">
        <f t="shared" si="3"/>
        <v>1.0615303237122689</v>
      </c>
      <c r="D25" s="25">
        <f t="shared" si="1"/>
        <v>0.2392718611258523</v>
      </c>
      <c r="E25" s="25">
        <f t="shared" si="4"/>
        <v>2.7114598737976068</v>
      </c>
      <c r="F25" s="73">
        <f t="shared" si="7"/>
        <v>5.2480290317400238</v>
      </c>
      <c r="G25" s="25">
        <f t="shared" si="5"/>
        <v>3.7340278742247746</v>
      </c>
      <c r="H25" s="5">
        <f>100*('3 часть'!$B$24/E25+((20+273)/100)^4)^(1/4)-273</f>
        <v>1249.9503578181586</v>
      </c>
      <c r="I25" s="5">
        <f>100*('3 часть'!E$24/E25+((600+273)/100)^4)^(1/4)-273</f>
        <v>1228.6097897147592</v>
      </c>
      <c r="J25" s="5">
        <f>100*('3 часть'!J$24/E25+((600+273)/100)^4)^(1/4)-273</f>
        <v>1378.0770113697024</v>
      </c>
      <c r="K25" s="5">
        <f>100*('3 часть'!M$24/E25+((1180+273)/100)^4)^(1/4)-273</f>
        <v>1253.9091866213178</v>
      </c>
      <c r="L25" s="5">
        <f>100*('3 часть'!B$24/F25+((20+273)/100)^4)^(1/4)-273</f>
        <v>1018.5955804867463</v>
      </c>
      <c r="M25" s="5">
        <f>100*('3 часть'!E$24/F25+((600+273)/100)^4)^(1/4)-273</f>
        <v>1032.8201850096432</v>
      </c>
      <c r="N25" s="60">
        <f>100*('3 часть'!J$24/F25+((600+273)/100)^4)^(1/4)-273</f>
        <v>1151.725035358317</v>
      </c>
      <c r="O25" s="5">
        <f>100*('3 часть'!M$24/F25+((1180+273)/100)^4)^(1/4)-273</f>
        <v>1219.5550381357334</v>
      </c>
      <c r="P25" s="5">
        <f>100*('3 часть'!B$77/E25+((1180+273)/100)^4)^(1/4)-273</f>
        <v>1214.6857990321421</v>
      </c>
      <c r="Q25" s="5">
        <f>100*('3 часть'!B$77/G25+((1180+273)/100)^4)^(1/4)-273</f>
        <v>1205.4280596402834</v>
      </c>
      <c r="R25" s="5">
        <f>100*('3 часть'!B$77/F25+((1180+273)/100)^4)^(1/4)-273</f>
        <v>1198.2269848408203</v>
      </c>
    </row>
    <row r="26" spans="1:18">
      <c r="A26" s="5">
        <f t="shared" si="6"/>
        <v>1100</v>
      </c>
      <c r="B26" s="5">
        <f t="shared" si="0"/>
        <v>1373</v>
      </c>
      <c r="C26" s="25">
        <f t="shared" si="3"/>
        <v>1.0209699002908532</v>
      </c>
      <c r="D26" s="25">
        <f t="shared" si="1"/>
        <v>0.23128097484986965</v>
      </c>
      <c r="E26" s="25">
        <f t="shared" si="4"/>
        <v>2.6628139168508707</v>
      </c>
      <c r="F26" s="25">
        <f t="shared" si="7"/>
        <v>5.2552118956643099</v>
      </c>
      <c r="G26" s="25">
        <f t="shared" si="5"/>
        <v>3.7340278742247746</v>
      </c>
      <c r="H26" s="5">
        <f>100*('3 часть'!$B$24/E26+((20+273)/100)^4)^(1/4)-273</f>
        <v>1256.8493612308848</v>
      </c>
      <c r="I26" s="5">
        <f>100*('3 часть'!E$24/E26+((600+273)/100)^4)^(1/4)-273</f>
        <v>1234.6478735598205</v>
      </c>
      <c r="J26" s="5">
        <f>100*('3 часть'!J$24/E26+((600+273)/100)^4)^(1/4)-273</f>
        <v>1384.9848784850462</v>
      </c>
      <c r="K26" s="5">
        <f>100*('3 часть'!M$24/E26+((1180+273)/100)^4)^(1/4)-273</f>
        <v>1255.1629513315538</v>
      </c>
      <c r="L26" s="5">
        <f>100*('3 часть'!B$24/F26+((20+273)/100)^4)^(1/4)-273</f>
        <v>1018.1551834021441</v>
      </c>
      <c r="M26" s="5">
        <f>100*('3 часть'!E$24/F26+((600+273)/100)^4)^(1/4)-273</f>
        <v>1032.4629734299408</v>
      </c>
      <c r="N26" s="5">
        <f>100*('3 часть'!J$24/F26+((600+273)/100)^4)^(1/4)-273</f>
        <v>1151.3066493840333</v>
      </c>
      <c r="O26" s="5">
        <f>100*('3 часть'!M$24/F26+((1180+273)/100)^4)^(1/4)-273</f>
        <v>1219.5030827497649</v>
      </c>
      <c r="P26" s="5">
        <f>100*('3 часть'!B$77/E26+((1180+273)/100)^4)^(1/4)-273</f>
        <v>1215.2972653538166</v>
      </c>
      <c r="Q26" s="5">
        <f>100*('3 часть'!B$77/G26+((1180+273)/100)^4)^(1/4)-273</f>
        <v>1205.4280596402834</v>
      </c>
      <c r="R26" s="5">
        <f>100*('3 часть'!B$77/F26+((1180+273)/100)^4)^(1/4)-273</f>
        <v>1198.2025306020353</v>
      </c>
    </row>
    <row r="27" spans="1:18">
      <c r="A27" s="5">
        <f t="shared" si="6"/>
        <v>1150</v>
      </c>
      <c r="B27" s="5">
        <f t="shared" si="0"/>
        <v>1423</v>
      </c>
      <c r="C27" s="25">
        <f t="shared" si="3"/>
        <v>0.98040947686943769</v>
      </c>
      <c r="D27" s="25">
        <f t="shared" si="1"/>
        <v>0.22320615022559587</v>
      </c>
      <c r="E27" s="25">
        <f t="shared" si="4"/>
        <v>2.6120507394756554</v>
      </c>
      <c r="F27" s="25">
        <f t="shared" si="7"/>
        <v>5.2624641997524852</v>
      </c>
      <c r="G27" s="25">
        <f t="shared" si="5"/>
        <v>3.7340278742247746</v>
      </c>
      <c r="H27" s="5">
        <f>100*('3 часть'!$B$24/E27+((20+273)/100)^4)^(1/4)-273</f>
        <v>1264.2187988434443</v>
      </c>
      <c r="I27" s="5">
        <f>100*('3 часть'!E$24/E27+((600+273)/100)^4)^(1/4)-273</f>
        <v>1241.1077266450202</v>
      </c>
      <c r="J27" s="5">
        <f>100*('3 часть'!J$24/E27+((600+273)/100)^4)^(1/4)-273</f>
        <v>1392.3715915549387</v>
      </c>
      <c r="K27" s="5">
        <f>100*('3 часть'!M$24/E27+((1180+273)/100)^4)^(1/4)-273</f>
        <v>1256.5176032717402</v>
      </c>
      <c r="L27" s="5">
        <f>100*('3 часть'!B$24/F27+((20+273)/100)^4)^(1/4)-273</f>
        <v>1017.7112927118151</v>
      </c>
      <c r="M27" s="5">
        <f>100*('3 часть'!E$24/F27+((600+273)/100)^4)^(1/4)-273</f>
        <v>1032.1030013201378</v>
      </c>
      <c r="N27" s="5">
        <f>100*('3 часть'!J$24/F27+((600+273)/100)^4)^(1/4)-273</f>
        <v>1150.8850045661577</v>
      </c>
      <c r="O27" s="5">
        <f>100*('3 часть'!M$24/F27+((1180+273)/100)^4)^(1/4)-273</f>
        <v>1219.4507634973179</v>
      </c>
      <c r="P27" s="5">
        <f>100*('3 часть'!B$77/E27+((1180+273)/100)^4)^(1/4)-273</f>
        <v>1215.9587792437558</v>
      </c>
      <c r="Q27" s="5">
        <f>100*('3 часть'!B$77/G27+((1180+273)/100)^4)^(1/4)-273</f>
        <v>1205.4280596402834</v>
      </c>
      <c r="R27" s="5">
        <f>100*('3 часть'!B$77/F27+((1180+273)/100)^4)^(1/4)-273</f>
        <v>1198.1779064478728</v>
      </c>
    </row>
    <row r="28" spans="1:18">
      <c r="A28" s="5">
        <f>A27+50</f>
        <v>1200</v>
      </c>
      <c r="B28" s="5">
        <f t="shared" si="0"/>
        <v>1473</v>
      </c>
      <c r="C28" s="25">
        <f t="shared" si="3"/>
        <v>0.93984905344802205</v>
      </c>
      <c r="D28" s="25">
        <f t="shared" si="1"/>
        <v>0.21504650554278371</v>
      </c>
      <c r="E28" s="74">
        <f t="shared" si="4"/>
        <v>2.5590320040210606</v>
      </c>
      <c r="F28" s="74">
        <f t="shared" si="7"/>
        <v>5.2697865541474158</v>
      </c>
      <c r="G28" s="74">
        <f t="shared" si="5"/>
        <v>3.7340278742247746</v>
      </c>
      <c r="H28" s="5">
        <f>100*('3 часть'!$B$24/E28+((20+273)/100)^4)^(1/4)-273</f>
        <v>1272.1094582078224</v>
      </c>
      <c r="I28" s="77">
        <f>100*('3 часть'!E$24/E28+((600+273)/100)^4)^(1/4)-273</f>
        <v>1248.0357344396418</v>
      </c>
      <c r="J28" s="5">
        <f>100*('3 часть'!J$24/E28+((600+273)/100)^4)^(1/4)-273</f>
        <v>1400.2894981623886</v>
      </c>
      <c r="K28" s="5">
        <f>100*('3 часть'!M$24/E28+((1180+273)/100)^4)^(1/4)-273</f>
        <v>1257.9857556383522</v>
      </c>
      <c r="L28" s="5">
        <f>100*('3 часть'!B$24/F28+((20+273)/100)^4)^(1/4)-273</f>
        <v>1017.2638908042197</v>
      </c>
      <c r="M28" s="5">
        <f>100*('3 часть'!E$24/F28+((600+273)/100)^4)^(1/4)-273</f>
        <v>1031.7402562296691</v>
      </c>
      <c r="N28" s="5">
        <f>100*('3 часть'!J$24/F28+((600+273)/100)^4)^(1/4)-273</f>
        <v>1150.4600856899174</v>
      </c>
      <c r="O28" s="56">
        <f>100*('3 часть'!M$24/F28+((1180+273)/100)^4)^(1/4)-273</f>
        <v>1219.3980794284566</v>
      </c>
      <c r="P28" s="56">
        <f>100*('3 часть'!B$77/E28+((1180+273)/100)^4)^(1/4)-273</f>
        <v>1216.6767076066153</v>
      </c>
      <c r="Q28" s="56">
        <f>100*('3 часть'!B$77/G28+((1180+273)/100)^4)^(1/4)-273</f>
        <v>1205.4280596402834</v>
      </c>
      <c r="R28" s="56">
        <f>100*('3 часть'!B$77/F28+((1180+273)/100)^4)^(1/4)-273</f>
        <v>1198.153111959577</v>
      </c>
    </row>
    <row r="29" spans="1:18">
      <c r="A29" s="5">
        <f t="shared" si="6"/>
        <v>1250</v>
      </c>
      <c r="B29" s="5">
        <f t="shared" si="0"/>
        <v>1523</v>
      </c>
      <c r="C29" s="25">
        <f t="shared" si="3"/>
        <v>0.89928863002660653</v>
      </c>
      <c r="D29" s="25">
        <f t="shared" si="1"/>
        <v>0.20680114982947218</v>
      </c>
      <c r="E29" s="75">
        <f t="shared" si="4"/>
        <v>2.503607057836946</v>
      </c>
      <c r="F29" s="25">
        <f t="shared" si="7"/>
        <v>5.2771795731128464</v>
      </c>
      <c r="G29" s="25">
        <f t="shared" si="5"/>
        <v>3.7340278742247746</v>
      </c>
      <c r="H29" s="55">
        <f>100*('3 часть'!$B$24/E29+((20+273)/100)^4)^(1/4)-273</f>
        <v>1280.5799141557022</v>
      </c>
      <c r="I29" s="5">
        <f>100*('3 часть'!E$24/E29+((600+273)/100)^4)^(1/4)-273</f>
        <v>1255.4854910517151</v>
      </c>
      <c r="J29" s="5">
        <f>100*('3 часть'!J$24/E29+((600+273)/100)^4)^(1/4)-273</f>
        <v>1408.7990449315221</v>
      </c>
      <c r="K29" s="55">
        <f>100*('3 часть'!M$24/E29+((1180+273)/100)^4)^(1/4)-273</f>
        <v>1259.5822172776795</v>
      </c>
      <c r="L29" s="5">
        <f>100*('3 часть'!B$24/F29+((20+273)/100)^4)^(1/4)-273</f>
        <v>1016.812960161589</v>
      </c>
      <c r="M29" s="5">
        <f>100*('3 часть'!E$24/F29+((600+273)/100)^4)^(1/4)-273</f>
        <v>1031.3747258139836</v>
      </c>
      <c r="N29" s="5">
        <f>100*('3 часть'!J$24/F29+((600+273)/100)^4)^(1/4)-273</f>
        <v>1150.0318776546956</v>
      </c>
      <c r="O29" s="5">
        <f>100*('3 часть'!M$24/F29+((1180+273)/100)^4)^(1/4)-273</f>
        <v>1219.3450296200492</v>
      </c>
      <c r="P29" s="5">
        <f>100*('3 часть'!B$77/E29+((1180+273)/100)^4)^(1/4)-273</f>
        <v>1217.458545321241</v>
      </c>
      <c r="Q29" s="5">
        <f>100*('3 часть'!B$77/G29+((1180+273)/100)^4)^(1/4)-273</f>
        <v>1205.4280596402834</v>
      </c>
      <c r="R29" s="5">
        <f>100*('3 часть'!B$77/F29+((1180+273)/100)^4)^(1/4)-273</f>
        <v>1198.1281467313054</v>
      </c>
    </row>
    <row r="30" spans="1:18">
      <c r="A30" s="5">
        <f t="shared" si="6"/>
        <v>1300</v>
      </c>
      <c r="B30" s="5">
        <f t="shared" si="0"/>
        <v>1573</v>
      </c>
      <c r="C30" s="25">
        <f t="shared" si="3"/>
        <v>0.85872820660519089</v>
      </c>
      <c r="D30" s="25">
        <f t="shared" si="1"/>
        <v>0.19846918275469883</v>
      </c>
      <c r="E30" s="25">
        <f t="shared" si="4"/>
        <v>2.4456115316035656</v>
      </c>
      <c r="F30" s="25">
        <f t="shared" si="7"/>
        <v>5.2846438750351759</v>
      </c>
      <c r="G30" s="25">
        <f t="shared" si="5"/>
        <v>3.7340278742247746</v>
      </c>
      <c r="H30" s="5">
        <f>100*('3 часть'!$B$24/E30+((20+273)/100)^4)^(1/4)-273</f>
        <v>1289.6981181826791</v>
      </c>
      <c r="I30" s="5">
        <f>100*('3 часть'!E$24/E30+((600+273)/100)^4)^(1/4)-273</f>
        <v>1263.5192845521258</v>
      </c>
      <c r="J30" s="5">
        <f>100*('3 часть'!J$24/E30+((600+273)/100)^4)^(1/4)-273</f>
        <v>1417.9704409573255</v>
      </c>
      <c r="K30" s="5">
        <f>100*('3 часть'!M$24/E30+((1180+273)/100)^4)^(1/4)-273</f>
        <v>1261.3244926087618</v>
      </c>
      <c r="L30" s="5">
        <f>100*('3 часть'!B$24/F30+((20+273)/100)^4)^(1/4)-273</f>
        <v>1016.3584833638606</v>
      </c>
      <c r="M30" s="5">
        <f>100*('3 часть'!E$24/F30+((600+273)/100)^4)^(1/4)-273</f>
        <v>1031.0063978380147</v>
      </c>
      <c r="N30" s="5">
        <f>100*('3 часть'!J$24/F30+((600+273)/100)^4)^(1/4)-273</f>
        <v>1149.6003654780138</v>
      </c>
      <c r="O30" s="5">
        <f>100*('3 часть'!M$24/F30+((1180+273)/100)^4)^(1/4)-273</f>
        <v>1219.2916131763027</v>
      </c>
      <c r="P30" s="5">
        <f>100*('3 часть'!B$77/E30+((1180+273)/100)^4)^(1/4)-273</f>
        <v>1218.3131766660806</v>
      </c>
      <c r="Q30" s="5">
        <f>100*('3 часть'!B$77/G30+((1180+273)/100)^4)^(1/4)-273</f>
        <v>1205.4280596402834</v>
      </c>
      <c r="R30" s="5">
        <f>100*('3 часть'!B$77/F30+((1180+273)/100)^4)^(1/4)-273</f>
        <v>1198.1030103703758</v>
      </c>
    </row>
    <row r="31" spans="1:18">
      <c r="A31" s="5">
        <f>A30+50</f>
        <v>1350</v>
      </c>
      <c r="B31" s="5">
        <f t="shared" si="0"/>
        <v>1623</v>
      </c>
      <c r="C31" s="25">
        <f t="shared" si="3"/>
        <v>0.81816778318377559</v>
      </c>
      <c r="D31" s="25">
        <f t="shared" si="1"/>
        <v>0.19004969453019105</v>
      </c>
      <c r="E31" s="25">
        <f t="shared" si="4"/>
        <v>2.3848657417585533</v>
      </c>
      <c r="F31" s="25">
        <f t="shared" si="7"/>
        <v>5.2921800824245739</v>
      </c>
      <c r="G31" s="25">
        <f t="shared" si="5"/>
        <v>3.7340278742247746</v>
      </c>
      <c r="H31" s="5">
        <f>100*('3 часть'!$B$24/E31+((20+273)/100)^4)^(1/4)-273</f>
        <v>1299.5434022673544</v>
      </c>
      <c r="I31" s="5">
        <f>100*('3 часть'!E$24/E31+((600+273)/100)^4)^(1/4)-273</f>
        <v>1272.2099721519073</v>
      </c>
      <c r="J31" s="5">
        <f>100*('3 часть'!J$24/E31+((600+273)/100)^4)^(1/4)-273</f>
        <v>1427.8857568441153</v>
      </c>
      <c r="K31" s="5">
        <f>100*('3 часть'!M$24/E31+((1180+273)/100)^4)^(1/4)-273</f>
        <v>1263.2334247847111</v>
      </c>
      <c r="L31" s="5">
        <f>100*('3 часть'!B$24/F31+((20+273)/100)^4)^(1/4)-273</f>
        <v>1015.9004430926575</v>
      </c>
      <c r="M31" s="5">
        <f>100*('3 часть'!E$24/F31+((600+273)/100)^4)^(1/4)-273</f>
        <v>1030.63526017969</v>
      </c>
      <c r="N31" s="5">
        <f>100*('3 часть'!J$24/F31+((600+273)/100)^4)^(1/4)-273</f>
        <v>1149.1655342995589</v>
      </c>
      <c r="O31" s="5">
        <f>100*('3 часть'!M$24/F31+((1180+273)/100)^4)^(1/4)-273</f>
        <v>1219.2378292292922</v>
      </c>
      <c r="P31" s="5">
        <f>100*('3 часть'!B$77/E31+((1180+273)/100)^4)^(1/4)-273</f>
        <v>1219.2512130032533</v>
      </c>
      <c r="Q31" s="5">
        <f>100*('3 часть'!B$77/G31+((1180+273)/100)^4)^(1/4)-273</f>
        <v>1205.4280596402834</v>
      </c>
      <c r="R31" s="5">
        <f>100*('3 часть'!B$77/F31+((1180+273)/100)^4)^(1/4)-273</f>
        <v>1198.0777024975168</v>
      </c>
    </row>
    <row r="32" spans="1:18">
      <c r="A32" s="5">
        <f t="shared" si="6"/>
        <v>1400</v>
      </c>
      <c r="B32" s="5">
        <f t="shared" si="0"/>
        <v>1673</v>
      </c>
      <c r="C32" s="25">
        <f t="shared" si="3"/>
        <v>0.77760735976235995</v>
      </c>
      <c r="D32" s="25">
        <f t="shared" si="1"/>
        <v>0.18154176581102299</v>
      </c>
      <c r="E32" s="25">
        <f t="shared" si="4"/>
        <v>2.321172864315991</v>
      </c>
      <c r="F32" s="25">
        <f t="shared" si="7"/>
        <v>5.2997888219154037</v>
      </c>
      <c r="G32" s="25">
        <f t="shared" si="5"/>
        <v>3.7340278742247746</v>
      </c>
      <c r="H32" s="5">
        <f>100*('3 часть'!$B$24/E32+((20+273)/100)^4)^(1/4)-273</f>
        <v>1310.2090313708586</v>
      </c>
      <c r="I32" s="5">
        <f>100*('3 часть'!E$24/E32+((600+273)/100)^4)^(1/4)-273</f>
        <v>1281.643372083149</v>
      </c>
      <c r="J32" s="5">
        <f>100*('3 часть'!J$24/E32+((600+273)/100)^4)^(1/4)-273</f>
        <v>1438.6416008667802</v>
      </c>
      <c r="K32" s="5">
        <f>100*('3 часть'!M$24/E32+((1180+273)/100)^4)^(1/4)-273</f>
        <v>1265.334032423847</v>
      </c>
      <c r="L32" s="5">
        <f>100*('3 часть'!B$24/F32+((20+273)/100)^4)^(1/4)-273</f>
        <v>1015.4388221353099</v>
      </c>
      <c r="M32" s="5">
        <f>100*('3 часть'!E$24/F32+((600+273)/100)^4)^(1/4)-273</f>
        <v>1030.261300833467</v>
      </c>
      <c r="N32" s="5">
        <f>100*('3 часть'!J$24/F32+((600+273)/100)^4)^(1/4)-273</f>
        <v>1148.7273693852435</v>
      </c>
      <c r="O32" s="5">
        <f>100*('3 часть'!M$24/F32+((1180+273)/100)^4)^(1/4)-273</f>
        <v>1219.1836769395004</v>
      </c>
      <c r="P32" s="5">
        <f>100*('3 часть'!B$77/E32+((1180+273)/100)^4)^(1/4)-273</f>
        <v>1220.2854340066933</v>
      </c>
      <c r="Q32" s="5">
        <f>100*('3 часть'!B$77/G32+((1180+273)/100)^4)^(1/4)-273</f>
        <v>1205.4280596402834</v>
      </c>
      <c r="R32" s="5">
        <f>100*('3 часть'!B$77/F32+((1180+273)/100)^4)^(1/4)-273</f>
        <v>1198.052222747119</v>
      </c>
    </row>
    <row r="33" spans="1:18">
      <c r="A33" s="5">
        <f t="shared" si="6"/>
        <v>1450</v>
      </c>
      <c r="B33" s="5">
        <f t="shared" si="0"/>
        <v>1723</v>
      </c>
      <c r="C33" s="25">
        <f t="shared" si="3"/>
        <v>0.73704693634094431</v>
      </c>
      <c r="D33" s="25">
        <f t="shared" si="1"/>
        <v>0.17294446759523063</v>
      </c>
      <c r="E33" s="76">
        <f t="shared" si="4"/>
        <v>2.2543168409798384</v>
      </c>
      <c r="F33" s="25">
        <f t="shared" si="7"/>
        <v>5.3074707242659782</v>
      </c>
      <c r="G33" s="25">
        <f t="shared" si="5"/>
        <v>3.7340278742247746</v>
      </c>
      <c r="H33" s="5">
        <f>100*('3 часть'!$B$24/E33+((20+273)/100)^4)^(1/4)-273</f>
        <v>1321.8054918155617</v>
      </c>
      <c r="I33" s="5">
        <f>100*('3 часть'!E$24/E33+((600+273)/100)^4)^(1/4)-273</f>
        <v>1291.9213492229419</v>
      </c>
      <c r="J33" s="58">
        <f>100*('3 часть'!J$24/E33+((600+273)/100)^4)^(1/4)-273</f>
        <v>1450.3525696982622</v>
      </c>
      <c r="K33" s="5">
        <f>100*('3 часть'!M$24/E33+((1180+273)/100)^4)^(1/4)-273</f>
        <v>1267.6566115449994</v>
      </c>
      <c r="L33" s="5">
        <f>100*('3 часть'!B$24/F33+((20+273)/100)^4)^(1/4)-273</f>
        <v>1014.973603388918</v>
      </c>
      <c r="M33" s="5">
        <f>100*('3 часть'!E$24/F33+((600+273)/100)^4)^(1/4)-273</f>
        <v>1029.8845079139048</v>
      </c>
      <c r="N33" s="5">
        <f>100*('3 часть'!J$24/F33+((600+273)/100)^4)^(1/4)-273</f>
        <v>1148.285856131308</v>
      </c>
      <c r="O33" s="5">
        <f>100*('3 часть'!M$24/F33+((1180+273)/100)^4)^(1/4)-273</f>
        <v>1219.1291554963509</v>
      </c>
      <c r="P33" s="5">
        <f>100*('3 часть'!B$77/E33+((1180+273)/100)^4)^(1/4)-273</f>
        <v>1221.4313714814798</v>
      </c>
      <c r="Q33" s="5">
        <f>100*('3 часть'!B$77/G33+((1180+273)/100)^4)^(1/4)-273</f>
        <v>1205.4280596402834</v>
      </c>
      <c r="R33" s="5">
        <f>100*('3 часть'!B$77/F33+((1180+273)/100)^4)^(1/4)-273</f>
        <v>1198.0265707674803</v>
      </c>
    </row>
    <row r="34" spans="1:18">
      <c r="A34" s="5">
        <f t="shared" si="6"/>
        <v>1500</v>
      </c>
      <c r="B34" s="5">
        <f t="shared" si="0"/>
        <v>1773</v>
      </c>
      <c r="C34" s="25">
        <f t="shared" si="3"/>
        <v>0.69648651291952868</v>
      </c>
      <c r="D34" s="25">
        <f t="shared" si="1"/>
        <v>0.16425686112237192</v>
      </c>
      <c r="E34" s="25">
        <f t="shared" si="4"/>
        <v>2.1840599706206487</v>
      </c>
      <c r="F34" s="25">
        <f t="shared" si="7"/>
        <v>5.3152264243575704</v>
      </c>
      <c r="G34" s="25">
        <f t="shared" si="5"/>
        <v>3.7340278742247746</v>
      </c>
      <c r="H34" s="5">
        <f>100*('3 часть'!$B$24/E34+((20+273)/100)^4)^(1/4)-273</f>
        <v>1334.4647807638069</v>
      </c>
      <c r="I34" s="5">
        <f>100*('3 часть'!E$24/E34+((600+273)/100)^4)^(1/4)-273</f>
        <v>1303.1658454987246</v>
      </c>
      <c r="J34" s="5">
        <f>100*('3 часть'!J$24/E34+((600+273)/100)^4)^(1/4)-273</f>
        <v>1463.155753589318</v>
      </c>
      <c r="K34" s="5">
        <f>100*('3 часть'!M$24/E34+((1180+273)/100)^4)^(1/4)-273</f>
        <v>1270.2382063669272</v>
      </c>
      <c r="L34" s="5">
        <f>100*('3 часть'!B$24/F34+((20+273)/100)^4)^(1/4)-273</f>
        <v>1014.5047698644573</v>
      </c>
      <c r="M34" s="5">
        <f>100*('3 часть'!E$24/F34+((600+273)/100)^4)^(1/4)-273</f>
        <v>1029.5048696592646</v>
      </c>
      <c r="N34" s="5">
        <f>100*('3 часть'!J$24/F34+((600+273)/100)^4)^(1/4)-273</f>
        <v>1147.840980068461</v>
      </c>
      <c r="O34" s="5">
        <f>100*('3 часть'!M$24/F34+((1180+273)/100)^4)^(1/4)-273</f>
        <v>1219.0742641187448</v>
      </c>
      <c r="P34" s="5">
        <f>100*('3 часть'!B$77/E34+((1180+273)/100)^4)^(1/4)-273</f>
        <v>1222.7080926135488</v>
      </c>
      <c r="Q34" s="5">
        <f>100*('3 часть'!B$77/G34+((1180+273)/100)^4)^(1/4)-273</f>
        <v>1205.4280596402834</v>
      </c>
      <c r="R34" s="5">
        <f>100*('3 часть'!B$77/F34+((1180+273)/100)^4)^(1/4)-273</f>
        <v>1198.0007462210615</v>
      </c>
    </row>
    <row r="35" spans="1:18">
      <c r="B35" s="5"/>
      <c r="C35" s="6"/>
      <c r="D35" s="6"/>
      <c r="E35" s="6"/>
      <c r="F35" s="6"/>
      <c r="G35" s="6"/>
    </row>
    <row r="36" spans="1:18">
      <c r="B36" s="5"/>
      <c r="C36" s="6"/>
      <c r="D36" s="6"/>
      <c r="E36" s="6"/>
      <c r="F36" s="6"/>
      <c r="G36" s="6"/>
    </row>
  </sheetData>
  <mergeCells count="1">
    <mergeCell ref="A1:O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96"/>
  <sheetViews>
    <sheetView topLeftCell="A61" zoomScaleNormal="100" workbookViewId="0">
      <selection activeCell="B89" sqref="B89:J93"/>
    </sheetView>
  </sheetViews>
  <sheetFormatPr defaultRowHeight="15"/>
  <cols>
    <col min="1" max="1" width="13.5703125" customWidth="1"/>
    <col min="2" max="2" width="14.140625" customWidth="1"/>
    <col min="3" max="3" width="14.7109375" style="10" customWidth="1"/>
    <col min="5" max="5" width="12" bestFit="1" customWidth="1"/>
    <col min="7" max="7" width="13.5703125" customWidth="1"/>
    <col min="9" max="9" width="11" customWidth="1"/>
    <col min="10" max="10" width="13.28515625" customWidth="1"/>
    <col min="11" max="11" width="14.140625" customWidth="1"/>
    <col min="12" max="12" width="12" customWidth="1"/>
    <col min="13" max="13" width="12" bestFit="1" customWidth="1"/>
  </cols>
  <sheetData>
    <row r="1" spans="1:15" ht="47.25" customHeight="1">
      <c r="A1" s="78" t="s">
        <v>32</v>
      </c>
      <c r="B1" s="78"/>
      <c r="C1" s="78"/>
      <c r="D1" s="78"/>
      <c r="E1" s="78"/>
      <c r="F1" s="78"/>
      <c r="G1" s="78"/>
      <c r="H1" s="78"/>
      <c r="I1" s="78"/>
      <c r="J1" s="78"/>
      <c r="K1" s="8"/>
      <c r="L1" s="8"/>
      <c r="M1" s="8"/>
      <c r="N1" s="8"/>
      <c r="O1" s="8"/>
    </row>
    <row r="2" spans="1:15" ht="15.75" customHeight="1">
      <c r="A2" s="52" t="s">
        <v>296</v>
      </c>
      <c r="B2" s="4"/>
      <c r="C2" s="9"/>
      <c r="D2" s="4"/>
      <c r="E2" s="78"/>
      <c r="F2" s="78"/>
      <c r="G2" s="78"/>
      <c r="H2" s="78"/>
      <c r="I2" s="78"/>
      <c r="J2" s="78"/>
      <c r="K2" s="4"/>
      <c r="L2" s="4"/>
      <c r="M2" s="4"/>
      <c r="N2" s="4"/>
      <c r="O2" s="4"/>
    </row>
    <row r="3" spans="1:15">
      <c r="A3" s="17" t="s">
        <v>33</v>
      </c>
      <c r="B3">
        <v>700</v>
      </c>
      <c r="C3" s="10" t="s">
        <v>37</v>
      </c>
      <c r="E3" s="2"/>
      <c r="G3" s="10"/>
      <c r="H3" s="10"/>
    </row>
    <row r="4" spans="1:15">
      <c r="A4" s="17" t="s">
        <v>34</v>
      </c>
      <c r="B4">
        <f>10.84*10^(-6)</f>
        <v>1.084E-5</v>
      </c>
      <c r="C4" s="10" t="s">
        <v>36</v>
      </c>
      <c r="E4" s="2"/>
      <c r="G4" s="10"/>
      <c r="H4" s="10"/>
    </row>
    <row r="5" spans="1:15">
      <c r="A5" s="16" t="s">
        <v>35</v>
      </c>
      <c r="B5">
        <f>2.09*10^5</f>
        <v>209000</v>
      </c>
      <c r="C5" s="10" t="s">
        <v>37</v>
      </c>
      <c r="G5" s="10"/>
      <c r="H5" s="10"/>
    </row>
    <row r="6" spans="1:15" ht="17.25">
      <c r="A6" s="2" t="s">
        <v>59</v>
      </c>
      <c r="B6">
        <v>7830</v>
      </c>
      <c r="C6" s="12" t="s">
        <v>60</v>
      </c>
      <c r="G6" s="10"/>
      <c r="H6" s="10"/>
    </row>
    <row r="7" spans="1:15">
      <c r="A7" s="17" t="s">
        <v>114</v>
      </c>
      <c r="B7">
        <v>1180</v>
      </c>
      <c r="C7" s="12" t="s">
        <v>39</v>
      </c>
      <c r="G7" s="10"/>
      <c r="H7" s="10"/>
    </row>
    <row r="8" spans="1:15">
      <c r="G8" s="10"/>
      <c r="H8" s="10"/>
    </row>
    <row r="9" spans="1:15">
      <c r="A9" s="2" t="s">
        <v>38</v>
      </c>
      <c r="B9" s="24">
        <f>1.4*B3/(B4*B5)</f>
        <v>432.5641342537827</v>
      </c>
      <c r="C9" s="10" t="s">
        <v>39</v>
      </c>
      <c r="E9" s="5"/>
      <c r="G9" s="10"/>
      <c r="H9" s="10"/>
    </row>
    <row r="10" spans="1:15">
      <c r="A10" s="2"/>
      <c r="B10" s="5"/>
      <c r="G10" s="10"/>
      <c r="H10" s="10"/>
    </row>
    <row r="11" spans="1:15">
      <c r="A11" s="17" t="s">
        <v>54</v>
      </c>
      <c r="B11" s="24">
        <v>49.6</v>
      </c>
      <c r="D11" s="2" t="s">
        <v>40</v>
      </c>
      <c r="E11">
        <f>(B11+B12)/2</f>
        <v>42.3</v>
      </c>
      <c r="G11" s="10"/>
      <c r="H11" s="10"/>
    </row>
    <row r="12" spans="1:15">
      <c r="A12" s="17" t="s">
        <v>56</v>
      </c>
      <c r="B12" s="24">
        <v>35</v>
      </c>
      <c r="G12" s="10"/>
      <c r="H12" s="10"/>
    </row>
    <row r="13" spans="1:15">
      <c r="A13" s="2"/>
      <c r="B13" s="5"/>
      <c r="G13" s="10"/>
      <c r="H13" s="10"/>
    </row>
    <row r="14" spans="1:15">
      <c r="A14" s="2" t="s">
        <v>41</v>
      </c>
      <c r="B14" s="24">
        <f>2*E11*B9/('2 часть'!B2/2)</f>
        <v>146379.70303148005</v>
      </c>
      <c r="G14" s="10"/>
      <c r="H14" s="10"/>
    </row>
    <row r="15" spans="1:15">
      <c r="A15" s="2" t="s">
        <v>42</v>
      </c>
      <c r="B15" s="24">
        <f>100*(B14/'2 часть'!G14+((20+273)/100)^4)^(1/4)-273</f>
        <v>1134.7636844715205</v>
      </c>
      <c r="D15" s="16" t="s">
        <v>115</v>
      </c>
      <c r="E15">
        <v>1100</v>
      </c>
      <c r="G15" s="10"/>
      <c r="H15" s="10"/>
    </row>
    <row r="16" spans="1:15">
      <c r="D16" t="s">
        <v>128</v>
      </c>
      <c r="E16">
        <v>1230</v>
      </c>
    </row>
    <row r="17" spans="1:18">
      <c r="A17" t="s">
        <v>43</v>
      </c>
    </row>
    <row r="18" spans="1:18">
      <c r="B18" s="10" t="s">
        <v>86</v>
      </c>
      <c r="C18" s="10" t="s">
        <v>87</v>
      </c>
      <c r="D18" s="10"/>
    </row>
    <row r="19" spans="1:18">
      <c r="A19">
        <v>1</v>
      </c>
      <c r="B19">
        <v>20</v>
      </c>
      <c r="C19" s="10">
        <v>600</v>
      </c>
    </row>
    <row r="20" spans="1:18">
      <c r="A20">
        <v>2</v>
      </c>
      <c r="B20">
        <f>C19</f>
        <v>600</v>
      </c>
      <c r="C20" s="10">
        <f>B7</f>
        <v>1180</v>
      </c>
    </row>
    <row r="22" spans="1:18" ht="41.25" customHeight="1">
      <c r="A22" s="81" t="s">
        <v>83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</row>
    <row r="23" spans="1:18" ht="21" customHeight="1">
      <c r="A23" s="82" t="s">
        <v>44</v>
      </c>
      <c r="B23" s="82"/>
      <c r="C23" s="82"/>
      <c r="D23" s="82"/>
      <c r="E23" s="82"/>
      <c r="F23" s="82"/>
      <c r="G23" s="82"/>
      <c r="H23" s="82"/>
      <c r="I23" s="82" t="s">
        <v>67</v>
      </c>
      <c r="J23" s="82"/>
      <c r="K23" s="82"/>
      <c r="L23" s="82"/>
      <c r="M23" s="82"/>
      <c r="N23" s="82"/>
      <c r="O23" s="82"/>
      <c r="P23" s="82"/>
      <c r="Q23" s="7"/>
      <c r="R23" s="7"/>
    </row>
    <row r="24" spans="1:18">
      <c r="A24" t="s">
        <v>45</v>
      </c>
      <c r="B24" s="24">
        <f>1.1*'2 часть'!G14*((('3 часть'!E15+273)/100)^4-((20+273)/100)^4)</f>
        <v>145663.50975199067</v>
      </c>
      <c r="D24" t="s">
        <v>46</v>
      </c>
      <c r="E24" s="24">
        <f>1.1*'2 часть'!G14*((('3 часть'!E15+273)/100)^4-((600+273)/100)^4)</f>
        <v>122108.60405945373</v>
      </c>
      <c r="F24" s="11"/>
      <c r="G24" s="11"/>
      <c r="H24" s="11"/>
      <c r="I24" t="s">
        <v>68</v>
      </c>
      <c r="J24" s="24">
        <f>1.1*'2 часть'!G14*((('3 часть'!E16+273)/100)^4-((600+273)/100)^4)</f>
        <v>185749.55843056165</v>
      </c>
      <c r="L24" s="35" t="s">
        <v>69</v>
      </c>
      <c r="M24" s="24">
        <f>1.1*'2 часть'!G14*(((E16+273)/100)^4-((C20+273)/100)^4)</f>
        <v>26530.643033875866</v>
      </c>
    </row>
    <row r="25" spans="1:18">
      <c r="A25" s="2" t="s">
        <v>47</v>
      </c>
      <c r="B25" s="1">
        <f>B24/(E15-20)</f>
        <v>134.8736201407321</v>
      </c>
      <c r="D25" s="2" t="s">
        <v>48</v>
      </c>
      <c r="E25" s="1">
        <f>E24/(E15-600)</f>
        <v>244.21720811890748</v>
      </c>
      <c r="F25" s="2"/>
      <c r="G25" s="2"/>
      <c r="H25" s="2"/>
      <c r="I25" s="2" t="s">
        <v>70</v>
      </c>
      <c r="J25" s="1">
        <f>J24/(E16-600)</f>
        <v>294.84056893739944</v>
      </c>
      <c r="L25" s="27" t="s">
        <v>71</v>
      </c>
      <c r="M25" s="1">
        <f>M24/(E16-C20)</f>
        <v>530.61286067751735</v>
      </c>
    </row>
    <row r="26" spans="1:18">
      <c r="C26" s="27" t="s">
        <v>116</v>
      </c>
      <c r="D26" s="1">
        <f>(B25+E25)/2</f>
        <v>189.54541412981979</v>
      </c>
      <c r="K26" s="2" t="s">
        <v>129</v>
      </c>
      <c r="L26" s="32">
        <f>(J25+M25)/2</f>
        <v>412.72671480745839</v>
      </c>
    </row>
    <row r="27" spans="1:18">
      <c r="A27" s="17" t="s">
        <v>55</v>
      </c>
      <c r="B27">
        <v>33</v>
      </c>
      <c r="I27" s="17" t="s">
        <v>317</v>
      </c>
      <c r="J27" s="2">
        <v>29.9</v>
      </c>
      <c r="L27" s="10"/>
    </row>
    <row r="28" spans="1:18">
      <c r="C28" s="2" t="s">
        <v>49</v>
      </c>
      <c r="D28" s="1">
        <f>(B11+B11+B27)/3</f>
        <v>44.066666666666663</v>
      </c>
      <c r="K28" s="2" t="s">
        <v>72</v>
      </c>
      <c r="L28" s="32">
        <f>(B27+B43+J27)/3</f>
        <v>34.675261664696258</v>
      </c>
    </row>
    <row r="29" spans="1:18">
      <c r="A29" s="2" t="s">
        <v>50</v>
      </c>
      <c r="B29" s="1">
        <f>D26*('2 часть'!B2/2)/'3 часть'!D28</f>
        <v>1.0753332874233348</v>
      </c>
      <c r="I29" t="s">
        <v>73</v>
      </c>
      <c r="J29" s="29">
        <f>L26*('2 часть'!B2/2)/'3 часть'!L28</f>
        <v>2.9756568155018832</v>
      </c>
      <c r="L29" s="10"/>
    </row>
    <row r="30" spans="1:18">
      <c r="A30" s="2" t="s">
        <v>117</v>
      </c>
      <c r="B30" s="1">
        <f>(E15-C19)/(E15-20)</f>
        <v>0.46296296296296297</v>
      </c>
      <c r="I30" s="2" t="s">
        <v>130</v>
      </c>
      <c r="J30" s="1">
        <f>(E16-C20)/(E16-B48)</f>
        <v>6.4445843382363033E-2</v>
      </c>
      <c r="L30" s="10"/>
    </row>
    <row r="31" spans="1:18">
      <c r="A31" s="2"/>
      <c r="J31" s="2"/>
      <c r="L31" s="10"/>
    </row>
    <row r="32" spans="1:18">
      <c r="B32" s="26" t="s">
        <v>118</v>
      </c>
      <c r="C32" s="10" t="s">
        <v>51</v>
      </c>
      <c r="D32" s="10" t="s">
        <v>52</v>
      </c>
      <c r="J32" s="26" t="s">
        <v>118</v>
      </c>
      <c r="K32" s="10" t="s">
        <v>51</v>
      </c>
      <c r="L32" s="10" t="s">
        <v>52</v>
      </c>
    </row>
    <row r="33" spans="1:12">
      <c r="A33" s="16">
        <v>0.7</v>
      </c>
      <c r="B33" s="16">
        <v>1.1839999999999999</v>
      </c>
      <c r="C33" s="28">
        <v>0.83599999999999997</v>
      </c>
      <c r="D33" s="16">
        <v>1.1538999999999999</v>
      </c>
      <c r="I33" s="16">
        <v>1.5</v>
      </c>
      <c r="J33" s="16">
        <v>2.1225999999999998</v>
      </c>
      <c r="K33" s="16">
        <v>0.6875</v>
      </c>
      <c r="L33" s="28">
        <v>1.2806999999999999</v>
      </c>
    </row>
    <row r="34" spans="1:12">
      <c r="A34" s="1">
        <f>B29</f>
        <v>1.0753332874233348</v>
      </c>
      <c r="B34" s="25">
        <f>B33+((A34-A33)/(A35-A33))*(B35-B33)</f>
        <v>1.6243597794694273</v>
      </c>
      <c r="C34" s="23">
        <f>C33+((A34-A33)/(A35-A33))*(C35-C33)</f>
        <v>0.76632875852204341</v>
      </c>
      <c r="D34" s="25">
        <f>D33+((A34-A33)/(A35-A33))*(D35-D33)</f>
        <v>1.2133903260565986</v>
      </c>
      <c r="I34" s="1">
        <f>J29</f>
        <v>2.9756568155018832</v>
      </c>
      <c r="J34" s="25">
        <f>J33+((I34-I33)/(I35-I33)*(J35-J33))</f>
        <v>3.0187368709179836</v>
      </c>
      <c r="K34" s="25">
        <f>K33+((I34-I33)/(I35-I33))*(K35-K33)</f>
        <v>0.52193130530068865</v>
      </c>
      <c r="L34" s="23">
        <f>L33+((I34-I33)/(I35-I33))*(L35-L33)</f>
        <v>1.3923186815245625</v>
      </c>
    </row>
    <row r="35" spans="1:12">
      <c r="A35" s="17">
        <v>1.5</v>
      </c>
      <c r="B35" s="16">
        <v>2.1225999999999998</v>
      </c>
      <c r="C35" s="28">
        <v>0.6875</v>
      </c>
      <c r="D35" s="16">
        <v>1.2806999999999999</v>
      </c>
      <c r="I35" s="16">
        <v>4</v>
      </c>
      <c r="J35" s="17">
        <v>3.6408</v>
      </c>
      <c r="K35" s="16">
        <v>0.40699999999999997</v>
      </c>
      <c r="L35" s="28">
        <v>1.4698</v>
      </c>
    </row>
    <row r="36" spans="1:12">
      <c r="L36" s="10"/>
    </row>
    <row r="37" spans="1:12">
      <c r="A37" t="s">
        <v>119</v>
      </c>
      <c r="B37" s="25">
        <f>-(1/B34)*LN(B30/C34)</f>
        <v>0.31025405542551765</v>
      </c>
      <c r="I37" t="s">
        <v>131</v>
      </c>
      <c r="J37" s="1">
        <f>-1/J34*LN(J30/K34)</f>
        <v>0.69290926503303496</v>
      </c>
      <c r="L37" s="10"/>
    </row>
    <row r="38" spans="1:12">
      <c r="A38" s="2" t="s">
        <v>120</v>
      </c>
      <c r="B38" s="25">
        <f>D34*EXP(-B34*B37)</f>
        <v>0.73304671700585766</v>
      </c>
      <c r="I38" s="2" t="s">
        <v>132</v>
      </c>
      <c r="J38" s="1">
        <f>L34*EXP(-J34*J37)</f>
        <v>0.17191755078990037</v>
      </c>
      <c r="L38" s="10"/>
    </row>
    <row r="39" spans="1:12">
      <c r="A39" t="s">
        <v>53</v>
      </c>
      <c r="B39" s="5">
        <f>E15-B38*(E15-20)</f>
        <v>308.30954563367368</v>
      </c>
      <c r="I39" t="s">
        <v>74</v>
      </c>
      <c r="J39" s="5">
        <f>E16-J38*(E16-B48)</f>
        <v>1096.6185887506367</v>
      </c>
      <c r="L39" s="10"/>
    </row>
    <row r="40" spans="1:12">
      <c r="L40" s="10"/>
    </row>
    <row r="41" spans="1:12">
      <c r="B41" s="2" t="s">
        <v>121</v>
      </c>
      <c r="J41" s="2" t="s">
        <v>121</v>
      </c>
      <c r="L41" s="10"/>
    </row>
    <row r="42" spans="1:12">
      <c r="A42" s="16">
        <v>300</v>
      </c>
      <c r="B42" s="16">
        <v>41.4</v>
      </c>
      <c r="I42" s="16">
        <v>1000</v>
      </c>
      <c r="J42" s="16">
        <v>26.9</v>
      </c>
      <c r="L42" s="10"/>
    </row>
    <row r="43" spans="1:12">
      <c r="A43" s="31">
        <f>B39</f>
        <v>308.30954563367368</v>
      </c>
      <c r="B43" s="24">
        <f>B42+((A43-A42)/(A44-A42))*(B44-B42)</f>
        <v>41.125784994088768</v>
      </c>
      <c r="I43" s="5">
        <f>J39</f>
        <v>1096.6185887506367</v>
      </c>
      <c r="J43" s="30">
        <f>J42+((I43-I42)/(I44-I42))*(J44-J42)</f>
        <v>28.494206714385506</v>
      </c>
      <c r="L43" s="10"/>
    </row>
    <row r="44" spans="1:12">
      <c r="A44" s="16">
        <v>400</v>
      </c>
      <c r="B44" s="16">
        <v>38.1</v>
      </c>
      <c r="I44" s="16">
        <v>1200</v>
      </c>
      <c r="J44" s="16">
        <v>30.2</v>
      </c>
      <c r="L44" s="10"/>
    </row>
    <row r="45" spans="1:12">
      <c r="C45" s="27" t="s">
        <v>122</v>
      </c>
      <c r="D45" s="1">
        <f>(B11+B11+B27+B43)/4</f>
        <v>43.331446248522191</v>
      </c>
      <c r="K45" s="2" t="s">
        <v>133</v>
      </c>
      <c r="L45" s="32">
        <f>(B27+B43+J27+J43)/4</f>
        <v>33.129997927118573</v>
      </c>
    </row>
    <row r="46" spans="1:12">
      <c r="A46" t="s">
        <v>123</v>
      </c>
      <c r="C46" s="59">
        <f>(D28-D45)*100/D28</f>
        <v>1.6684275752143842</v>
      </c>
      <c r="I46" t="s">
        <v>134</v>
      </c>
      <c r="L46" s="59">
        <f>(L28-L45)*100/L28</f>
        <v>4.4563866670138381</v>
      </c>
    </row>
    <row r="47" spans="1:12">
      <c r="A47" s="2" t="s">
        <v>57</v>
      </c>
      <c r="B47" s="5">
        <f>C19-B39</f>
        <v>291.69045436632632</v>
      </c>
      <c r="I47" s="2" t="s">
        <v>75</v>
      </c>
      <c r="J47" s="31">
        <f>C20-J39</f>
        <v>83.381411249363282</v>
      </c>
      <c r="L47" s="10"/>
    </row>
    <row r="48" spans="1:12">
      <c r="A48" s="2" t="s">
        <v>58</v>
      </c>
      <c r="B48" s="5">
        <f>B39+0.5*B47</f>
        <v>454.15477281683684</v>
      </c>
      <c r="I48" t="s">
        <v>76</v>
      </c>
      <c r="J48" s="31">
        <f>J39+0.5*J47</f>
        <v>1138.3092943753184</v>
      </c>
      <c r="L48" s="10"/>
    </row>
    <row r="49" spans="1:13">
      <c r="A49" s="16" t="s">
        <v>125</v>
      </c>
      <c r="B49">
        <v>9.7100000000000009</v>
      </c>
      <c r="I49" s="16" t="s">
        <v>135</v>
      </c>
      <c r="J49">
        <v>356.72</v>
      </c>
      <c r="L49" s="10"/>
    </row>
    <row r="50" spans="1:13">
      <c r="L50" s="10"/>
    </row>
    <row r="51" spans="1:13">
      <c r="B51" s="10" t="s">
        <v>124</v>
      </c>
      <c r="J51" t="s">
        <v>124</v>
      </c>
      <c r="L51" s="10"/>
    </row>
    <row r="52" spans="1:13">
      <c r="A52" s="16">
        <v>400</v>
      </c>
      <c r="B52" s="16">
        <v>219.39</v>
      </c>
      <c r="I52" s="16">
        <v>1100</v>
      </c>
      <c r="J52" s="16">
        <v>764.51</v>
      </c>
      <c r="L52" s="10"/>
    </row>
    <row r="53" spans="1:13">
      <c r="A53" s="31">
        <f>B48</f>
        <v>454.15477281683684</v>
      </c>
      <c r="B53" s="1">
        <f>B52+((A53-A52)/(A54-A52))*(B54-B52)</f>
        <v>254.75848212667614</v>
      </c>
      <c r="D53" t="s">
        <v>126</v>
      </c>
      <c r="E53" s="6">
        <f>(B53-B49)/(B48-20)</f>
        <v>0.56442655354628168</v>
      </c>
      <c r="I53" s="5">
        <f>J48</f>
        <v>1138.3092943753184</v>
      </c>
      <c r="J53" s="1">
        <f>J52+((I53-I52)/(I54-I52))*(J54-J52)</f>
        <v>789.21183301320525</v>
      </c>
      <c r="L53" s="35" t="s">
        <v>136</v>
      </c>
      <c r="M53" s="1">
        <f>(J53-B53)/(J48-B48)</f>
        <v>0.78118807088939768</v>
      </c>
    </row>
    <row r="54" spans="1:13">
      <c r="A54" s="16">
        <v>500</v>
      </c>
      <c r="B54" s="16">
        <v>284.7</v>
      </c>
      <c r="D54" t="s">
        <v>127</v>
      </c>
      <c r="E54" s="6">
        <f>D28/(E53*B6*1000*0.00028)</f>
        <v>3.561090165630372E-2</v>
      </c>
      <c r="G54" s="34"/>
      <c r="I54" s="16">
        <v>1200</v>
      </c>
      <c r="J54" s="16">
        <v>828.99</v>
      </c>
      <c r="L54" s="35" t="s">
        <v>77</v>
      </c>
      <c r="M54" s="1">
        <f>L28/(M53*1000*7850*0.00028)</f>
        <v>2.0194655834023079E-2</v>
      </c>
    </row>
    <row r="55" spans="1:13">
      <c r="D55" s="2" t="s">
        <v>61</v>
      </c>
      <c r="E55" s="1">
        <f>B37*('2 часть'!B2/2)^2/('3 часть'!E54)</f>
        <v>0.54452085070028955</v>
      </c>
      <c r="L55" s="26" t="s">
        <v>78</v>
      </c>
      <c r="M55" s="1">
        <f>J37*('2 часть'!B2/2)^2/'3 часть'!M54</f>
        <v>2.1444697755929676</v>
      </c>
    </row>
    <row r="56" spans="1:13">
      <c r="L56" s="10"/>
    </row>
    <row r="57" spans="1:13">
      <c r="A57" s="16" t="s">
        <v>63</v>
      </c>
      <c r="B57" s="5">
        <f>'2 часть'!H29</f>
        <v>1280.5799141557022</v>
      </c>
      <c r="D57" s="16" t="s">
        <v>65</v>
      </c>
      <c r="E57" s="5">
        <f>'2 часть'!L25</f>
        <v>1018.5955804867463</v>
      </c>
      <c r="I57" s="16" t="s">
        <v>79</v>
      </c>
      <c r="J57" s="5">
        <f>'2 часть'!J33</f>
        <v>1450.3525696982622</v>
      </c>
      <c r="L57" s="40" t="s">
        <v>81</v>
      </c>
      <c r="M57" s="5">
        <f>'2 часть'!N27</f>
        <v>1150.8850045661577</v>
      </c>
    </row>
    <row r="58" spans="1:13">
      <c r="A58" s="16" t="s">
        <v>64</v>
      </c>
      <c r="B58" s="5">
        <f>'2 часть'!I29</f>
        <v>1255.4854910517151</v>
      </c>
      <c r="D58" s="16" t="s">
        <v>66</v>
      </c>
      <c r="E58" s="5">
        <f>'2 часть'!M25</f>
        <v>1032.8201850096432</v>
      </c>
      <c r="I58" s="16" t="s">
        <v>80</v>
      </c>
      <c r="J58" s="5">
        <f>'2 часть'!K33</f>
        <v>1267.6566115449994</v>
      </c>
      <c r="L58" s="40" t="s">
        <v>82</v>
      </c>
      <c r="M58" s="5">
        <f>'2 часть'!O27</f>
        <v>1219.4507634973179</v>
      </c>
    </row>
    <row r="59" spans="1:13">
      <c r="L59" s="10"/>
    </row>
    <row r="60" spans="1:13">
      <c r="G60" s="2" t="s">
        <v>137</v>
      </c>
      <c r="H60" s="1">
        <f>E55+M55</f>
        <v>2.6889906262932572</v>
      </c>
      <c r="L60" s="10"/>
    </row>
    <row r="62" spans="1:13" ht="33.75" customHeight="1">
      <c r="A62" s="83" t="s">
        <v>138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</row>
    <row r="63" spans="1:13" ht="13.5" customHeight="1">
      <c r="A63" s="38" t="s">
        <v>141</v>
      </c>
      <c r="B63" s="39">
        <f>C20</f>
        <v>1180</v>
      </c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</row>
    <row r="64" spans="1:13" ht="16.5" customHeight="1">
      <c r="A64" s="2" t="s">
        <v>139</v>
      </c>
      <c r="B64" s="5">
        <f>J47</f>
        <v>83.381411249363282</v>
      </c>
      <c r="D64" s="36" t="s">
        <v>140</v>
      </c>
      <c r="E64" s="11">
        <f>'2 часть'!B2/2*100*2</f>
        <v>50</v>
      </c>
      <c r="F64" s="11"/>
      <c r="G64" s="11"/>
      <c r="H64" s="11"/>
      <c r="I64" s="11"/>
    </row>
    <row r="65" spans="1:5">
      <c r="A65" t="s">
        <v>142</v>
      </c>
      <c r="B65">
        <f>B63-E64+0.5*E64</f>
        <v>1155</v>
      </c>
    </row>
    <row r="66" spans="1:5" s="11" customFormat="1" ht="12.75" customHeight="1"/>
    <row r="67" spans="1:5">
      <c r="B67" s="2" t="s">
        <v>121</v>
      </c>
    </row>
    <row r="68" spans="1:5">
      <c r="A68" s="16">
        <v>1100</v>
      </c>
      <c r="B68" s="16">
        <v>28.6</v>
      </c>
    </row>
    <row r="69" spans="1:5">
      <c r="A69" s="2">
        <f>B63-E64</f>
        <v>1130</v>
      </c>
      <c r="B69">
        <f>B68+((A69-A68)/(A70-A68))*(B70-B68)</f>
        <v>29.080000000000002</v>
      </c>
      <c r="D69" s="2" t="s">
        <v>143</v>
      </c>
      <c r="E69" s="1">
        <f>(J27+J27+J43+B69)/4</f>
        <v>29.343551678596373</v>
      </c>
    </row>
    <row r="70" spans="1:5">
      <c r="A70" s="16">
        <v>1200</v>
      </c>
      <c r="B70" s="16">
        <v>30.2</v>
      </c>
    </row>
    <row r="71" spans="1:5">
      <c r="A71" s="2"/>
    </row>
    <row r="72" spans="1:5">
      <c r="B72" t="s">
        <v>124</v>
      </c>
    </row>
    <row r="73" spans="1:5">
      <c r="A73" s="16">
        <v>1100</v>
      </c>
      <c r="B73" s="61">
        <v>764.51</v>
      </c>
    </row>
    <row r="74" spans="1:5">
      <c r="A74">
        <f>B65</f>
        <v>1155</v>
      </c>
      <c r="B74" s="1">
        <f>B73+((A74-A73)/(A75-A73))*(B75-B73)</f>
        <v>799.97400000000005</v>
      </c>
      <c r="D74" t="s">
        <v>144</v>
      </c>
      <c r="E74" s="1">
        <f>(B74-J53)/(B65-J48)</f>
        <v>0.64480000000000437</v>
      </c>
    </row>
    <row r="75" spans="1:5">
      <c r="A75" s="16">
        <v>1200</v>
      </c>
      <c r="B75" s="61">
        <v>828.99</v>
      </c>
      <c r="D75" t="s">
        <v>145</v>
      </c>
      <c r="E75" s="6">
        <f>E69/(E74*1000*B6*0.00028)</f>
        <v>2.0757156347375766E-2</v>
      </c>
    </row>
    <row r="76" spans="1:5">
      <c r="D76" s="2" t="s">
        <v>146</v>
      </c>
      <c r="E76" s="1">
        <f>-1*('2 часть'!B2/2)^2*LN('3 часть'!E64/(1.11*'3 часть'!B64))/(5.76*'3 часть'!E75)</f>
        <v>0.32188656407096594</v>
      </c>
    </row>
    <row r="77" spans="1:5">
      <c r="A77" t="s">
        <v>147</v>
      </c>
      <c r="B77" s="24">
        <f>2*J27*E64/('2 часть'!B2/2)</f>
        <v>11960</v>
      </c>
    </row>
    <row r="78" spans="1:5">
      <c r="A78" s="16" t="s">
        <v>148</v>
      </c>
      <c r="B78" s="5">
        <f>'2 часть'!P28</f>
        <v>1216.6767076066153</v>
      </c>
    </row>
    <row r="79" spans="1:5">
      <c r="A79" s="2" t="s">
        <v>149</v>
      </c>
      <c r="B79" s="5">
        <f>'2 часть'!Q28</f>
        <v>1205.4280596402834</v>
      </c>
    </row>
    <row r="80" spans="1:5">
      <c r="A80" s="17" t="s">
        <v>150</v>
      </c>
      <c r="B80" s="5">
        <f>'2 часть'!R28</f>
        <v>1198.153111959577</v>
      </c>
    </row>
    <row r="81" spans="1:10">
      <c r="A81" s="2" t="s">
        <v>84</v>
      </c>
      <c r="B81" s="1">
        <f>H60+E76</f>
        <v>3.0108771903642233</v>
      </c>
    </row>
    <row r="82" spans="1:10">
      <c r="A82" s="2" t="s">
        <v>151</v>
      </c>
      <c r="B82" s="1">
        <f>'2 часть'!F7*B6</f>
        <v>6914.8687499999996</v>
      </c>
    </row>
    <row r="83" spans="1:10">
      <c r="A83" s="2" t="s">
        <v>85</v>
      </c>
      <c r="B83" s="24">
        <f>B82/B81</f>
        <v>2296.6292919982943</v>
      </c>
    </row>
    <row r="84" spans="1:10">
      <c r="A84" s="2" t="s">
        <v>152</v>
      </c>
      <c r="B84" s="24">
        <f>B83/('2 часть'!F3*'2 часть'!F2)</f>
        <v>408.28965191080789</v>
      </c>
    </row>
    <row r="87" spans="1:10" ht="15.75" customHeight="1">
      <c r="A87" s="78" t="s">
        <v>154</v>
      </c>
      <c r="B87" s="78"/>
      <c r="C87" s="8" t="s">
        <v>89</v>
      </c>
      <c r="D87" s="8" t="s">
        <v>90</v>
      </c>
      <c r="E87" s="8" t="s">
        <v>91</v>
      </c>
      <c r="F87" s="8" t="s">
        <v>92</v>
      </c>
      <c r="G87" s="8" t="s">
        <v>88</v>
      </c>
      <c r="H87" s="8" t="s">
        <v>93</v>
      </c>
      <c r="I87" s="8" t="s">
        <v>153</v>
      </c>
      <c r="J87" t="s">
        <v>320</v>
      </c>
    </row>
    <row r="88" spans="1:10">
      <c r="A88" s="80" t="s">
        <v>62</v>
      </c>
      <c r="B88" s="80"/>
      <c r="C88" s="80" t="s">
        <v>155</v>
      </c>
      <c r="D88" s="80"/>
      <c r="E88" s="80"/>
      <c r="F88" s="80"/>
      <c r="G88" s="80"/>
      <c r="H88" s="80"/>
      <c r="I88" t="s">
        <v>156</v>
      </c>
      <c r="J88" t="s">
        <v>155</v>
      </c>
    </row>
    <row r="89" spans="1:10">
      <c r="A89" s="2" t="s">
        <v>84</v>
      </c>
      <c r="B89">
        <v>0</v>
      </c>
      <c r="C89" s="10">
        <v>20</v>
      </c>
      <c r="D89">
        <v>20</v>
      </c>
      <c r="E89">
        <v>20</v>
      </c>
      <c r="F89" s="5">
        <f>E57</f>
        <v>1018.5955804867463</v>
      </c>
      <c r="G89">
        <f>E15</f>
        <v>1100</v>
      </c>
      <c r="H89" s="5">
        <f>B57</f>
        <v>1280.5799141557022</v>
      </c>
      <c r="I89" s="24">
        <f>B24</f>
        <v>145663.50975199067</v>
      </c>
      <c r="J89">
        <f>E89-C89</f>
        <v>0</v>
      </c>
    </row>
    <row r="90" spans="1:10">
      <c r="A90" s="2" t="s">
        <v>61</v>
      </c>
      <c r="B90" s="1">
        <f>E55</f>
        <v>0.54452085070028955</v>
      </c>
      <c r="C90" s="33">
        <f>B39</f>
        <v>308.30954563367368</v>
      </c>
      <c r="D90" s="5">
        <f>B48</f>
        <v>454.15477281683684</v>
      </c>
      <c r="E90">
        <f>C19</f>
        <v>600</v>
      </c>
      <c r="F90" s="5">
        <f>E58</f>
        <v>1032.8201850096432</v>
      </c>
      <c r="G90">
        <f>E15</f>
        <v>1100</v>
      </c>
      <c r="H90" s="5">
        <f>B58</f>
        <v>1255.4854910517151</v>
      </c>
      <c r="I90" s="24">
        <f>E24</f>
        <v>122108.60405945373</v>
      </c>
      <c r="J90" s="5">
        <f>E90-C90</f>
        <v>291.69045436632632</v>
      </c>
    </row>
    <row r="91" spans="1:10">
      <c r="A91" s="2" t="s">
        <v>61</v>
      </c>
      <c r="B91" s="1">
        <f>E55</f>
        <v>0.54452085070028955</v>
      </c>
      <c r="C91" s="33">
        <f>B39</f>
        <v>308.30954563367368</v>
      </c>
      <c r="D91" s="5">
        <f>B48</f>
        <v>454.15477281683684</v>
      </c>
      <c r="E91">
        <f>C19</f>
        <v>600</v>
      </c>
      <c r="F91" s="5">
        <f>M57</f>
        <v>1150.8850045661577</v>
      </c>
      <c r="G91">
        <f>E16</f>
        <v>1230</v>
      </c>
      <c r="H91" s="5">
        <f>J57</f>
        <v>1450.3525696982622</v>
      </c>
      <c r="I91" s="24">
        <f>J24</f>
        <v>185749.55843056165</v>
      </c>
      <c r="J91" s="5">
        <f t="shared" ref="J91:J93" si="0">E91-C91</f>
        <v>291.69045436632632</v>
      </c>
    </row>
    <row r="92" spans="1:10">
      <c r="A92" s="2" t="s">
        <v>78</v>
      </c>
      <c r="B92" s="1">
        <f>M55+B90</f>
        <v>2.6889906262932572</v>
      </c>
      <c r="C92" s="33">
        <f>J39</f>
        <v>1096.6185887506367</v>
      </c>
      <c r="D92" s="5">
        <f>J48</f>
        <v>1138.3092943753184</v>
      </c>
      <c r="E92">
        <f>C20</f>
        <v>1180</v>
      </c>
      <c r="F92" s="5">
        <f>M58</f>
        <v>1219.4507634973179</v>
      </c>
      <c r="G92">
        <f>E16</f>
        <v>1230</v>
      </c>
      <c r="H92" s="5">
        <f>J58</f>
        <v>1267.6566115449994</v>
      </c>
      <c r="I92" s="24">
        <f>M24</f>
        <v>26530.643033875866</v>
      </c>
      <c r="J92" s="5">
        <f t="shared" si="0"/>
        <v>83.381411249363282</v>
      </c>
    </row>
    <row r="93" spans="1:10">
      <c r="A93" s="2" t="s">
        <v>308</v>
      </c>
      <c r="B93" s="1">
        <f>B92+E76</f>
        <v>3.0108771903642233</v>
      </c>
      <c r="C93" s="10">
        <f>B63-E64</f>
        <v>1130</v>
      </c>
      <c r="D93">
        <f>B65</f>
        <v>1155</v>
      </c>
      <c r="E93">
        <f>C20</f>
        <v>1180</v>
      </c>
      <c r="F93" s="5">
        <f>B80</f>
        <v>1198.153111959577</v>
      </c>
      <c r="G93" s="5">
        <f>B79</f>
        <v>1205.4280596402834</v>
      </c>
      <c r="H93" s="5">
        <f>B78</f>
        <v>1216.6767076066153</v>
      </c>
      <c r="I93" s="24">
        <f>B77</f>
        <v>11960</v>
      </c>
      <c r="J93" s="5">
        <f t="shared" si="0"/>
        <v>50</v>
      </c>
    </row>
    <row r="94" spans="1:10">
      <c r="A94" s="2"/>
    </row>
    <row r="95" spans="1:10">
      <c r="A95" s="2"/>
    </row>
    <row r="96" spans="1:10">
      <c r="A96" s="2"/>
    </row>
  </sheetData>
  <mergeCells count="10">
    <mergeCell ref="A87:B87"/>
    <mergeCell ref="A88:B88"/>
    <mergeCell ref="C88:H88"/>
    <mergeCell ref="A22:O22"/>
    <mergeCell ref="A1:J1"/>
    <mergeCell ref="E2:G2"/>
    <mergeCell ref="H2:J2"/>
    <mergeCell ref="A23:H23"/>
    <mergeCell ref="I23:P23"/>
    <mergeCell ref="A62:M6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63"/>
  <sheetViews>
    <sheetView topLeftCell="A49" zoomScale="106" zoomScaleNormal="106" workbookViewId="0">
      <selection activeCell="I54" sqref="I54"/>
    </sheetView>
  </sheetViews>
  <sheetFormatPr defaultRowHeight="15"/>
  <cols>
    <col min="1" max="1" width="11.85546875" customWidth="1"/>
    <col min="2" max="2" width="33" customWidth="1"/>
    <col min="5" max="5" width="10.5703125" customWidth="1"/>
    <col min="9" max="9" width="11.85546875" customWidth="1"/>
  </cols>
  <sheetData>
    <row r="1" spans="1:5">
      <c r="B1" s="41" t="s">
        <v>157</v>
      </c>
    </row>
    <row r="2" spans="1:5">
      <c r="A2" t="s">
        <v>158</v>
      </c>
      <c r="B2" s="24">
        <f>'1 часть'!N8*1000*'3 часть'!B81</f>
        <v>96348.070091655143</v>
      </c>
      <c r="C2" t="s">
        <v>159</v>
      </c>
    </row>
    <row r="3" spans="1:5">
      <c r="A3" t="s">
        <v>318</v>
      </c>
      <c r="B3" s="24">
        <f>'1 часть'!N14*1.31*250*'3 часть'!B81</f>
        <v>9306.0597686082874</v>
      </c>
      <c r="C3" t="s">
        <v>159</v>
      </c>
    </row>
    <row r="4" spans="1:5">
      <c r="A4" s="17" t="s">
        <v>161</v>
      </c>
      <c r="B4">
        <v>2.13</v>
      </c>
    </row>
    <row r="5" spans="1:5">
      <c r="A5" t="s">
        <v>160</v>
      </c>
      <c r="B5" s="5">
        <f>((700+'3 часть'!E92)/2*('3 часть'!B92-('3 часть'!B93-B4))+'3 часть'!E76*'3 часть'!E92)/('3 часть'!B93-('3 часть'!B93-B4))</f>
        <v>976.2689086277145</v>
      </c>
    </row>
    <row r="6" spans="1:5">
      <c r="A6" t="s">
        <v>162</v>
      </c>
      <c r="B6" s="1">
        <f>0.0027*SQRT(B4)*EXP(0.0058*B5)</f>
        <v>1.1341882013550577</v>
      </c>
      <c r="D6" t="s">
        <v>163</v>
      </c>
      <c r="E6" s="24">
        <f>5652*B6*'2 часть'!F6</f>
        <v>52837.983403129547</v>
      </c>
    </row>
    <row r="8" spans="1:5">
      <c r="B8" s="42" t="s">
        <v>164</v>
      </c>
    </row>
    <row r="9" spans="1:5">
      <c r="A9" s="16" t="s">
        <v>125</v>
      </c>
      <c r="B9">
        <v>9.7100000000000009</v>
      </c>
      <c r="D9" t="s">
        <v>165</v>
      </c>
      <c r="E9">
        <f>'3 часть'!B82*('4 часть'!B10-'4 часть'!B9)</f>
        <v>5486879.2044374999</v>
      </c>
    </row>
    <row r="10" spans="1:5">
      <c r="A10" s="16" t="s">
        <v>325</v>
      </c>
      <c r="B10">
        <v>803.2</v>
      </c>
    </row>
    <row r="12" spans="1:5">
      <c r="A12" t="s">
        <v>166</v>
      </c>
      <c r="C12">
        <f>('3 часть'!F90+'3 часть'!F91)/2</f>
        <v>1091.8525947879004</v>
      </c>
    </row>
    <row r="13" spans="1:5">
      <c r="A13" t="s">
        <v>167</v>
      </c>
      <c r="B13" s="5">
        <f>(('3 часть'!F89+'3 часть'!F90)/2*('3 часть'!B90-'3 часть'!B89)+('3 часть'!F92+'3 часть'!F91)/2*('3 часть'!B92-'3 часть'!B91)+('3 часть'!F93+'3 часть'!F92)/2*('3 часть'!B93-'3 часть'!B92))/'3 часть'!B93</f>
        <v>1158.8560133697201</v>
      </c>
    </row>
    <row r="14" spans="1:5">
      <c r="A14" t="s">
        <v>168</v>
      </c>
      <c r="B14" s="24">
        <f>(B13+20)/2</f>
        <v>589.42800668486007</v>
      </c>
      <c r="D14" t="s">
        <v>169</v>
      </c>
      <c r="E14" s="24">
        <f>(B14+20)/2</f>
        <v>304.71400334243003</v>
      </c>
    </row>
    <row r="15" spans="1:5">
      <c r="A15" s="2" t="s">
        <v>170</v>
      </c>
      <c r="B15" s="6">
        <f>1.04+1.512*10^(-4)*B14</f>
        <v>1.1291215146107509</v>
      </c>
      <c r="D15" s="2" t="s">
        <v>171</v>
      </c>
      <c r="E15" s="6">
        <f>0.105+0.000233*E14</f>
        <v>0.17599836277878619</v>
      </c>
    </row>
    <row r="17" spans="1:8">
      <c r="A17" t="s">
        <v>172</v>
      </c>
      <c r="B17">
        <v>0.23</v>
      </c>
      <c r="D17" t="s">
        <v>173</v>
      </c>
      <c r="E17">
        <v>0.23</v>
      </c>
    </row>
    <row r="18" spans="1:8">
      <c r="A18" t="s">
        <v>174</v>
      </c>
      <c r="B18" s="24">
        <f>(B13-20)/(B17/B15+E17/E15+1/20)</f>
        <v>729.78865704305008</v>
      </c>
    </row>
    <row r="19" spans="1:8">
      <c r="A19" t="s">
        <v>168</v>
      </c>
      <c r="B19" s="5">
        <f>B13-0.5*B18*B17/B15</f>
        <v>1084.5277019577434</v>
      </c>
      <c r="D19" t="s">
        <v>169</v>
      </c>
      <c r="E19" s="5">
        <f>B13-0.5*B18*(2*B17/B15+E17/E15)</f>
        <v>533.34441169895956</v>
      </c>
      <c r="G19" t="s">
        <v>175</v>
      </c>
    </row>
    <row r="21" spans="1:8">
      <c r="A21" s="44" t="s">
        <v>170</v>
      </c>
      <c r="B21" s="6">
        <f>1.04+1.512*10^(-4)*B19</f>
        <v>1.2039805885360109</v>
      </c>
      <c r="D21" s="44" t="s">
        <v>171</v>
      </c>
      <c r="E21" s="6">
        <f>0.105+0.000233*E19</f>
        <v>0.22926924792585757</v>
      </c>
      <c r="G21" t="s">
        <v>177</v>
      </c>
    </row>
    <row r="22" spans="1:8">
      <c r="A22" s="44" t="s">
        <v>176</v>
      </c>
      <c r="B22" s="24">
        <f>(B13-20)/(B17/B21+E17/E21+1/20)</f>
        <v>915.3170243698039</v>
      </c>
    </row>
    <row r="23" spans="1:8">
      <c r="A23" s="44" t="s">
        <v>168</v>
      </c>
      <c r="B23" s="5">
        <f>B13-0.5*B22*B17/B21</f>
        <v>1071.4281438469059</v>
      </c>
      <c r="D23" s="45" t="s">
        <v>169</v>
      </c>
      <c r="E23" s="5">
        <f>B13-0.5*B22*(2*B17/B21+E17/E21)</f>
        <v>524.88306277129095</v>
      </c>
    </row>
    <row r="25" spans="1:8">
      <c r="A25" s="43" t="s">
        <v>178</v>
      </c>
      <c r="B25" s="24">
        <f>B22*'2 часть'!B6*'3 часть'!B81*3600/1000</f>
        <v>304603.09170905832</v>
      </c>
    </row>
    <row r="26" spans="1:8">
      <c r="A26" s="43" t="s">
        <v>179</v>
      </c>
      <c r="B26" s="6">
        <f>0.808+0.000314*B23</f>
        <v>1.1444284371679285</v>
      </c>
    </row>
    <row r="27" spans="1:8">
      <c r="A27" t="s">
        <v>180</v>
      </c>
      <c r="B27" s="24">
        <f>0.75*'2 часть'!B6*('3 часть'!F92-'3 часть'!F89)*('4 часть'!B21*'4 часть'!B26*1000*2150*'3 часть'!H60*3600)^(1/2)/1000</f>
        <v>783214.49878001341</v>
      </c>
    </row>
    <row r="29" spans="1:8">
      <c r="A29" t="s">
        <v>181</v>
      </c>
      <c r="B29">
        <f>B17+E17</f>
        <v>0.46</v>
      </c>
      <c r="D29" s="16" t="s">
        <v>182</v>
      </c>
      <c r="E29">
        <v>2.25</v>
      </c>
      <c r="G29" s="16" t="s">
        <v>223</v>
      </c>
      <c r="H29">
        <v>1.95</v>
      </c>
    </row>
    <row r="30" spans="1:8">
      <c r="A30" s="2" t="s">
        <v>186</v>
      </c>
      <c r="D30" s="47">
        <v>20</v>
      </c>
      <c r="E30" t="s">
        <v>187</v>
      </c>
      <c r="G30" s="16"/>
    </row>
    <row r="31" spans="1:8">
      <c r="A31" t="s">
        <v>183</v>
      </c>
      <c r="B31" s="6">
        <f>0.9+0.7*H29/E29</f>
        <v>1.5066666666666668</v>
      </c>
      <c r="D31" t="s">
        <v>184</v>
      </c>
      <c r="E31" s="6">
        <f>EXP(-B31*B29/H29)</f>
        <v>0.70087985085641413</v>
      </c>
    </row>
    <row r="32" spans="1:8">
      <c r="A32" t="s">
        <v>185</v>
      </c>
      <c r="B32" s="24">
        <f>5.67*E31*D30*60*((('3 часть'!H89+273)/100)^4-(293/100)^4)*'4 часть'!E29*'4 часть'!H29/1000</f>
        <v>1217333.6081217814</v>
      </c>
      <c r="D32" t="s">
        <v>188</v>
      </c>
      <c r="E32" s="24">
        <f>5.67*E31*D30*60*((('3 часть'!H93+273)/100)^4-(293/100)^4)*'4 часть'!E29*'4 часть'!H29/1000</f>
        <v>1028827.7539368693</v>
      </c>
    </row>
    <row r="33" spans="1:9">
      <c r="A33" t="s">
        <v>189</v>
      </c>
      <c r="C33" s="5">
        <f>('3 часть'!H90+'3 часть'!H91)/2</f>
        <v>1352.9190303749888</v>
      </c>
    </row>
    <row r="34" spans="1:9">
      <c r="A34" t="s">
        <v>190</v>
      </c>
      <c r="B34" s="5">
        <f>(('3 часть'!H89+'3 часть'!H90)/2*('3 часть'!B90-'3 часть'!B89)+('3 часть'!H91+'3 часть'!H92)/2*('3 часть'!B92-'3 часть'!B91)+('3 часть'!H93+'3 часть'!H92)/2*('3 часть'!B93-'3 часть'!B92))/'3 часть'!B93</f>
        <v>1330.0613144529043</v>
      </c>
    </row>
    <row r="36" spans="1:9">
      <c r="B36" s="10" t="s">
        <v>191</v>
      </c>
      <c r="C36" t="s">
        <v>192</v>
      </c>
      <c r="D36" t="s">
        <v>193</v>
      </c>
      <c r="E36" t="s">
        <v>194</v>
      </c>
      <c r="F36" t="s">
        <v>195</v>
      </c>
    </row>
    <row r="37" spans="1:9">
      <c r="A37" s="16">
        <v>1200</v>
      </c>
      <c r="B37" s="16">
        <v>1.7749999999999999</v>
      </c>
      <c r="C37" s="16">
        <v>2.2650000000000001</v>
      </c>
      <c r="D37" s="16">
        <v>1.415</v>
      </c>
      <c r="E37" s="16">
        <v>1.5029999999999999</v>
      </c>
      <c r="F37" s="16">
        <v>2.278</v>
      </c>
    </row>
    <row r="38" spans="1:9">
      <c r="A38" s="5">
        <f>B34</f>
        <v>1330.0613144529043</v>
      </c>
      <c r="B38" s="6">
        <f>B37+(A38-A37)/(A39-A37)*(B39-B37)</f>
        <v>1.8140183943358712</v>
      </c>
      <c r="C38" s="6">
        <f>C37+(A38-A37)/(A39-A37)*(C39-C37)</f>
        <v>2.2975153286132262</v>
      </c>
      <c r="D38" s="6">
        <f>D37+(A38-A37)/(A39-A37)*(D39-D37)</f>
        <v>1.4267055183007613</v>
      </c>
      <c r="E38" s="6">
        <f>E37+(A38-A37)/(A39-A37)*(E39-E37)</f>
        <v>1.5134049051562322</v>
      </c>
      <c r="F38" s="6">
        <f>F37+(A38-A37)/(A39-A37)*(F39-F37)</f>
        <v>2.3053128760351096</v>
      </c>
    </row>
    <row r="39" spans="1:9">
      <c r="A39" s="16">
        <v>1300</v>
      </c>
      <c r="B39" s="16">
        <v>1.8049999999999999</v>
      </c>
      <c r="C39" s="16">
        <v>2.29</v>
      </c>
      <c r="D39" s="16">
        <v>1.4239999999999999</v>
      </c>
      <c r="E39" s="16">
        <v>1.5109999999999999</v>
      </c>
      <c r="F39" s="16">
        <v>2.2989999999999999</v>
      </c>
      <c r="H39" s="16" t="s">
        <v>198</v>
      </c>
      <c r="I39" s="62">
        <f>'1 часть'!G14</f>
        <v>10.511205817358407</v>
      </c>
    </row>
    <row r="41" spans="1:9">
      <c r="A41" t="s">
        <v>196</v>
      </c>
      <c r="B41" s="6">
        <f>(B38*'1 часть'!C15+'4 часть'!C38*'1 часть'!B15+'4 часть'!D38*'1 часть'!E15+'4 часть'!E38*'1 часть'!F15+'4 часть'!F38*'1 часть'!D15)*0.01</f>
        <v>1.5739190935496337</v>
      </c>
      <c r="D41" t="s">
        <v>197</v>
      </c>
      <c r="E41" s="24">
        <f>I39*'3 часть'!B81*'4 часть'!B41*'4 часть'!B34</f>
        <v>66252.099808758067</v>
      </c>
      <c r="F41" t="s">
        <v>159</v>
      </c>
    </row>
    <row r="43" spans="1:9">
      <c r="B43" t="s">
        <v>124</v>
      </c>
    </row>
    <row r="44" spans="1:9">
      <c r="A44" s="16">
        <v>1100</v>
      </c>
      <c r="B44" s="16">
        <v>764.51</v>
      </c>
      <c r="D44">
        <v>1000</v>
      </c>
      <c r="E44">
        <v>699.19</v>
      </c>
    </row>
    <row r="45" spans="1:9">
      <c r="A45">
        <v>1180</v>
      </c>
      <c r="B45" s="1">
        <f>B44+(A45-A44)/(A46-A44)*(B46-B44)</f>
        <v>816.09400000000005</v>
      </c>
      <c r="D45">
        <v>1019</v>
      </c>
      <c r="E45" s="1">
        <f>E44+(D45-D44)/(D46-D44)*(E46-E44)</f>
        <v>711.60080000000005</v>
      </c>
    </row>
    <row r="46" spans="1:9">
      <c r="A46" s="16">
        <v>1200</v>
      </c>
      <c r="B46" s="16">
        <v>828.99</v>
      </c>
      <c r="D46">
        <v>1100</v>
      </c>
      <c r="E46">
        <v>764.51</v>
      </c>
    </row>
    <row r="47" spans="1:9">
      <c r="A47" s="16"/>
      <c r="B47" s="16"/>
    </row>
    <row r="48" spans="1:9">
      <c r="A48" s="16" t="s">
        <v>200</v>
      </c>
      <c r="C48">
        <v>4</v>
      </c>
      <c r="E48" s="16" t="s">
        <v>224</v>
      </c>
      <c r="G48">
        <v>550</v>
      </c>
    </row>
    <row r="49" spans="1:9">
      <c r="A49" t="s">
        <v>199</v>
      </c>
      <c r="B49" s="24">
        <f>G48*(B45-E45)</f>
        <v>57471.26</v>
      </c>
    </row>
    <row r="50" spans="1:9">
      <c r="A50" t="s">
        <v>201</v>
      </c>
      <c r="B50" s="24">
        <f>0.1*(B25+B27+B49+B32+E32)</f>
        <v>339145.02125477226</v>
      </c>
    </row>
    <row r="51" spans="1:9">
      <c r="A51" s="46" t="s">
        <v>202</v>
      </c>
      <c r="B51" s="24">
        <f>(E9+B25+B27+B32+E32+B49+B50-E6)/(B2+B3-E41)</f>
        <v>232.59300200667522</v>
      </c>
    </row>
    <row r="53" spans="1:9">
      <c r="A53" s="84" t="s">
        <v>203</v>
      </c>
      <c r="B53" s="86" t="s">
        <v>204</v>
      </c>
      <c r="C53" s="87"/>
      <c r="D53" s="84" t="s">
        <v>203</v>
      </c>
      <c r="E53" s="86" t="s">
        <v>207</v>
      </c>
      <c r="F53" s="87"/>
      <c r="H53" s="2" t="s">
        <v>220</v>
      </c>
      <c r="I53" s="24">
        <f>100*E55/B62</f>
        <v>22.279707956724906</v>
      </c>
    </row>
    <row r="54" spans="1:9">
      <c r="A54" s="85"/>
      <c r="B54" s="48" t="s">
        <v>205</v>
      </c>
      <c r="C54" s="48" t="s">
        <v>206</v>
      </c>
      <c r="D54" s="85"/>
      <c r="E54" s="48" t="s">
        <v>208</v>
      </c>
      <c r="F54" s="48" t="s">
        <v>206</v>
      </c>
      <c r="H54" t="s">
        <v>222</v>
      </c>
      <c r="I54" s="24">
        <f>B62/('3 часть'!B82/1000)</f>
        <v>3561.4919259320591</v>
      </c>
    </row>
    <row r="55" spans="1:9">
      <c r="A55" s="48" t="s">
        <v>209</v>
      </c>
      <c r="B55" s="51">
        <f>B2*B51/1000</f>
        <v>22409.886860167629</v>
      </c>
      <c r="C55" s="50">
        <f>B55*100/B62</f>
        <v>90.996305182732215</v>
      </c>
      <c r="D55" s="48" t="s">
        <v>212</v>
      </c>
      <c r="E55" s="51">
        <f>E9/1000</f>
        <v>5486.8792044374995</v>
      </c>
      <c r="F55" s="50">
        <f>E55*100/E62</f>
        <v>22.279707956724909</v>
      </c>
      <c r="H55" t="s">
        <v>221</v>
      </c>
      <c r="I55" s="24">
        <f>I54/29.33</f>
        <v>121.42829614497305</v>
      </c>
    </row>
    <row r="56" spans="1:9">
      <c r="A56" s="48" t="s">
        <v>210</v>
      </c>
      <c r="B56" s="51">
        <f>B3*B51/1000</f>
        <v>2164.5243784341469</v>
      </c>
      <c r="C56" s="50">
        <f>B56*100/B62</f>
        <v>8.7891439231471455</v>
      </c>
      <c r="D56" s="48" t="s">
        <v>213</v>
      </c>
      <c r="E56" s="51">
        <f>B25/1000</f>
        <v>304.60309170905833</v>
      </c>
      <c r="F56" s="50">
        <f>E56*100/E62</f>
        <v>1.2368538969301119</v>
      </c>
    </row>
    <row r="57" spans="1:9">
      <c r="A57" s="48" t="s">
        <v>211</v>
      </c>
      <c r="B57" s="51">
        <f>E6/1000</f>
        <v>52.837983403129549</v>
      </c>
      <c r="C57" s="50">
        <f>B57*100/B62</f>
        <v>0.21455089412063863</v>
      </c>
      <c r="D57" s="48" t="s">
        <v>214</v>
      </c>
      <c r="E57" s="51">
        <f>B27/1000</f>
        <v>783.2144987800134</v>
      </c>
      <c r="F57" s="50">
        <f>E57*100/E62</f>
        <v>3.1802760093896185</v>
      </c>
    </row>
    <row r="58" spans="1:9">
      <c r="A58" s="48"/>
      <c r="B58" s="48"/>
      <c r="C58" s="48"/>
      <c r="D58" s="48" t="s">
        <v>215</v>
      </c>
      <c r="E58" s="51">
        <f>(B32+E32)/1000</f>
        <v>2246.1613620586509</v>
      </c>
      <c r="F58" s="50">
        <f>E58*100/E62</f>
        <v>9.1206343908342973</v>
      </c>
    </row>
    <row r="59" spans="1:9">
      <c r="A59" s="48"/>
      <c r="B59" s="48"/>
      <c r="C59" s="48"/>
      <c r="D59" s="48" t="s">
        <v>216</v>
      </c>
      <c r="E59" s="51">
        <f>B49/1000</f>
        <v>57.471260000000001</v>
      </c>
      <c r="F59" s="50">
        <f>E59*100/E62</f>
        <v>0.233364512138239</v>
      </c>
    </row>
    <row r="60" spans="1:9">
      <c r="A60" s="48"/>
      <c r="B60" s="48"/>
      <c r="C60" s="48"/>
      <c r="D60" s="48" t="s">
        <v>217</v>
      </c>
      <c r="E60" s="51">
        <f>E41*B51/1000</f>
        <v>15409.774783764911</v>
      </c>
      <c r="F60" s="50">
        <f>E60*100/E62</f>
        <v>62.572050353053612</v>
      </c>
    </row>
    <row r="61" spans="1:9">
      <c r="A61" s="48"/>
      <c r="B61" s="48"/>
      <c r="C61" s="48"/>
      <c r="D61" s="48" t="s">
        <v>218</v>
      </c>
      <c r="E61" s="51">
        <f>B50/1000</f>
        <v>339.14502125477225</v>
      </c>
      <c r="F61" s="50">
        <f>E61*100/E62</f>
        <v>1.3771128809292263</v>
      </c>
    </row>
    <row r="62" spans="1:9">
      <c r="A62" s="48" t="s">
        <v>219</v>
      </c>
      <c r="B62" s="51">
        <f>SUM(B55:B57)</f>
        <v>24627.249222004906</v>
      </c>
      <c r="C62" s="48">
        <f>SUM(C55:C57)</f>
        <v>100</v>
      </c>
      <c r="D62" s="48" t="s">
        <v>219</v>
      </c>
      <c r="E62" s="51">
        <f>SUM(E55:E61)</f>
        <v>24627.249222004903</v>
      </c>
      <c r="F62" s="48">
        <f>SUM(F55:F61)</f>
        <v>100.00000000000001</v>
      </c>
    </row>
    <row r="63" spans="1:9">
      <c r="A63" s="49"/>
      <c r="B63" s="49"/>
      <c r="C63" s="49"/>
      <c r="D63" s="49"/>
      <c r="E63" s="49"/>
      <c r="F63" s="49"/>
    </row>
  </sheetData>
  <mergeCells count="4">
    <mergeCell ref="A53:A54"/>
    <mergeCell ref="B53:C53"/>
    <mergeCell ref="D53:D54"/>
    <mergeCell ref="E53:F5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7"/>
  <sheetViews>
    <sheetView zoomScaleNormal="100" workbookViewId="0">
      <selection activeCell="B28" sqref="B28"/>
    </sheetView>
  </sheetViews>
  <sheetFormatPr defaultRowHeight="15"/>
  <cols>
    <col min="5" max="5" width="9.42578125" customWidth="1"/>
  </cols>
  <sheetData>
    <row r="1" spans="1:11">
      <c r="B1" s="42" t="s">
        <v>225</v>
      </c>
    </row>
    <row r="2" spans="1:11">
      <c r="A2" t="s">
        <v>226</v>
      </c>
      <c r="B2" s="24">
        <f>'4 часть'!B51</f>
        <v>232.59300200667522</v>
      </c>
      <c r="D2" t="s">
        <v>17</v>
      </c>
      <c r="E2" s="1">
        <f>'1 часть'!N14</f>
        <v>9.4375983736827251</v>
      </c>
      <c r="G2" t="s">
        <v>190</v>
      </c>
      <c r="H2" s="5">
        <f>'4 часть'!B34</f>
        <v>1330.0613144529043</v>
      </c>
    </row>
    <row r="3" spans="1:11">
      <c r="A3" t="s">
        <v>227</v>
      </c>
      <c r="B3" s="5">
        <v>250</v>
      </c>
      <c r="D3" t="s">
        <v>198</v>
      </c>
      <c r="E3" s="25">
        <f>'4 часть'!I39</f>
        <v>10.511205817358407</v>
      </c>
    </row>
    <row r="4" spans="1:11">
      <c r="A4" t="s">
        <v>228</v>
      </c>
      <c r="B4" s="25">
        <f>'1 часть'!B15</f>
        <v>8.6820687159582945</v>
      </c>
      <c r="D4" t="s">
        <v>229</v>
      </c>
      <c r="E4" s="25">
        <f>'1 часть'!C15</f>
        <v>18.064459148817186</v>
      </c>
      <c r="G4" t="s">
        <v>232</v>
      </c>
      <c r="H4" s="25">
        <f>'1 часть'!E15</f>
        <v>71.521484723609348</v>
      </c>
      <c r="J4" t="s">
        <v>233</v>
      </c>
      <c r="K4" s="25">
        <f>'1 часть'!F15</f>
        <v>1.7140976565309805</v>
      </c>
    </row>
    <row r="6" spans="1:11">
      <c r="A6" t="s">
        <v>230</v>
      </c>
      <c r="B6" s="24">
        <f>B2*E2</f>
        <v>2195.1193374681807</v>
      </c>
      <c r="D6" t="s">
        <v>231</v>
      </c>
      <c r="E6" s="24">
        <f>0.7*B2*E3*(1+0.1)</f>
        <v>1882.5213451424536</v>
      </c>
    </row>
    <row r="8" spans="1:11">
      <c r="A8" t="s">
        <v>234</v>
      </c>
    </row>
    <row r="9" spans="1:11">
      <c r="B9" t="s">
        <v>235</v>
      </c>
      <c r="C9" t="s">
        <v>236</v>
      </c>
      <c r="D9" t="s">
        <v>7</v>
      </c>
      <c r="E9" t="s">
        <v>8</v>
      </c>
    </row>
    <row r="10" spans="1:11">
      <c r="A10">
        <v>0</v>
      </c>
      <c r="B10" s="46"/>
      <c r="C10" s="46"/>
      <c r="D10" s="46"/>
      <c r="E10" s="46"/>
      <c r="G10" t="s">
        <v>237</v>
      </c>
      <c r="H10">
        <f>(B10*B4+C10*E4+D10*H4+E10*K4)*0.01</f>
        <v>0</v>
      </c>
    </row>
    <row r="11" spans="1:11">
      <c r="A11">
        <v>1400</v>
      </c>
      <c r="B11">
        <v>3241.4</v>
      </c>
      <c r="C11">
        <v>2561.5</v>
      </c>
      <c r="D11">
        <v>2010.5</v>
      </c>
      <c r="E11">
        <v>2127.6999999999998</v>
      </c>
      <c r="G11" t="s">
        <v>237</v>
      </c>
      <c r="H11">
        <f>(B11*B4+C11*E4+D11*H4+E11*K4)*0.01</f>
        <v>2218.5520026621998</v>
      </c>
    </row>
    <row r="13" spans="1:11">
      <c r="A13" s="16" t="s">
        <v>238</v>
      </c>
      <c r="B13" s="5">
        <f>1.5845*H2</f>
        <v>2107.4821527506269</v>
      </c>
      <c r="C13" t="s">
        <v>239</v>
      </c>
    </row>
    <row r="14" spans="1:11">
      <c r="A14" t="s">
        <v>240</v>
      </c>
      <c r="B14" s="24">
        <f>B13/(1+0.1)</f>
        <v>1915.8928661369334</v>
      </c>
      <c r="D14" s="16" t="s">
        <v>242</v>
      </c>
      <c r="E14" s="5">
        <f>B14/1.5845</f>
        <v>1209.1466495026402</v>
      </c>
      <c r="F14" t="s">
        <v>239</v>
      </c>
    </row>
    <row r="15" spans="1:11">
      <c r="A15" t="s">
        <v>241</v>
      </c>
      <c r="B15" s="24">
        <f>B14-B6*1.3*(250-20)/(E6*0.82)</f>
        <v>1490.7101887661331</v>
      </c>
      <c r="D15" s="16" t="s">
        <v>243</v>
      </c>
      <c r="E15" s="5">
        <f>B15/1.5845</f>
        <v>940.80794494549264</v>
      </c>
      <c r="F15" t="s">
        <v>239</v>
      </c>
    </row>
    <row r="16" spans="1:11">
      <c r="A16" s="2" t="s">
        <v>244</v>
      </c>
      <c r="B16" s="5">
        <f>((E14-250)-(E15-20))/LN((E14-250)/(E15-20))</f>
        <v>939.8469732151317</v>
      </c>
    </row>
    <row r="17" spans="1:5">
      <c r="A17" s="2" t="s">
        <v>246</v>
      </c>
      <c r="B17" s="5">
        <f>(E14++E15)/2</f>
        <v>1074.9772972240664</v>
      </c>
    </row>
    <row r="18" spans="1:5">
      <c r="A18" s="2" t="s">
        <v>245</v>
      </c>
      <c r="B18" s="5">
        <f>(7.4+0.00924*B17)*4^0.65/0.03^0.35</f>
        <v>145.61799135350577</v>
      </c>
      <c r="D18" s="2" t="s">
        <v>247</v>
      </c>
      <c r="E18" s="5">
        <f>1.1*B18</f>
        <v>160.17979048885636</v>
      </c>
    </row>
    <row r="19" spans="1:5">
      <c r="A19" s="2" t="s">
        <v>248</v>
      </c>
      <c r="B19">
        <f>(20+250)/2</f>
        <v>135</v>
      </c>
    </row>
    <row r="20" spans="1:5">
      <c r="A20" s="2" t="s">
        <v>249</v>
      </c>
      <c r="B20" s="1">
        <f>(3.57+0.00147*B19)*6^0.8/(0.0247)^0.2</f>
        <v>33.124121353823234</v>
      </c>
    </row>
    <row r="21" spans="1:5">
      <c r="A21" s="2" t="s">
        <v>11</v>
      </c>
      <c r="B21" s="1">
        <f>1/(1/E18+1/B20)</f>
        <v>27.448046798457948</v>
      </c>
    </row>
    <row r="22" spans="1:5">
      <c r="A22" s="2" t="s">
        <v>250</v>
      </c>
      <c r="B22" s="6">
        <f>B6*1.31*(250-20)/(3.6*B21*B16)</f>
        <v>7.1217409748403595</v>
      </c>
    </row>
    <row r="23" spans="1:5">
      <c r="A23" s="2" t="s">
        <v>251</v>
      </c>
      <c r="B23" s="1">
        <f>4*B6/(3600*3.14*0.0247*0.0247*6)</f>
        <v>212.19777274827578</v>
      </c>
    </row>
    <row r="24" spans="1:5">
      <c r="A24" s="2" t="s">
        <v>252</v>
      </c>
      <c r="B24" s="6">
        <f>B22/B23</f>
        <v>3.3561808319678643E-2</v>
      </c>
    </row>
    <row r="25" spans="1:5">
      <c r="A25" s="2" t="s">
        <v>253</v>
      </c>
      <c r="B25" s="1">
        <f>B24/(3.14*(0.03+0.0247)/2)</f>
        <v>0.39080343645918847</v>
      </c>
    </row>
    <row r="26" spans="1:5">
      <c r="A26" s="2" t="s">
        <v>254</v>
      </c>
      <c r="B26" s="1">
        <f>2*E6/(3600*(0.048-0.03)*4*B25)</f>
        <v>37.168628287262059</v>
      </c>
      <c r="D26" t="s">
        <v>255</v>
      </c>
      <c r="E26" s="1">
        <f>B23/(2*B26)</f>
        <v>2.8545278979396369</v>
      </c>
    </row>
    <row r="27" spans="1:5">
      <c r="A27" s="2" t="s">
        <v>309</v>
      </c>
      <c r="B27">
        <v>38</v>
      </c>
      <c r="E27">
        <v>3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K31"/>
  <sheetViews>
    <sheetView tabSelected="1" workbookViewId="0">
      <selection activeCell="D31" sqref="D31"/>
    </sheetView>
  </sheetViews>
  <sheetFormatPr defaultRowHeight="15"/>
  <cols>
    <col min="4" max="5" width="9.85546875" customWidth="1"/>
  </cols>
  <sheetData>
    <row r="1" spans="1:11">
      <c r="C1" s="42" t="s">
        <v>256</v>
      </c>
    </row>
    <row r="2" spans="1:11">
      <c r="A2" t="s">
        <v>257</v>
      </c>
      <c r="B2" s="24">
        <f>'5 часть'!B2*'5 часть'!E3</f>
        <v>2444.8329157694202</v>
      </c>
      <c r="D2" t="s">
        <v>258</v>
      </c>
      <c r="E2" s="24">
        <f>'5 часть'!E6</f>
        <v>1882.5213451424536</v>
      </c>
      <c r="K2" s="16"/>
    </row>
    <row r="3" spans="1:11">
      <c r="A3" t="s">
        <v>190</v>
      </c>
      <c r="B3" s="5">
        <f>'4 часть'!B34</f>
        <v>1330.0613144529043</v>
      </c>
      <c r="D3" t="s">
        <v>242</v>
      </c>
      <c r="E3" s="5">
        <f>'5 часть'!E14</f>
        <v>1209.1466495026402</v>
      </c>
      <c r="G3" t="s">
        <v>243</v>
      </c>
      <c r="H3" s="5">
        <f>'5 часть'!E15</f>
        <v>940.80794494549264</v>
      </c>
    </row>
    <row r="4" spans="1:11">
      <c r="A4" s="2" t="s">
        <v>259</v>
      </c>
      <c r="B4" s="1">
        <f>'1 часть'!N16</f>
        <v>1.2347182722215695</v>
      </c>
      <c r="E4" s="1"/>
    </row>
    <row r="5" spans="1:11">
      <c r="A5" s="2" t="s">
        <v>310</v>
      </c>
      <c r="B5" s="1">
        <v>1</v>
      </c>
      <c r="E5" s="1"/>
    </row>
    <row r="6" spans="1:11">
      <c r="A6" t="s">
        <v>250</v>
      </c>
      <c r="B6" s="1">
        <f>B2/(3600*B5)</f>
        <v>0.67912025438039447</v>
      </c>
      <c r="D6" s="16" t="s">
        <v>260</v>
      </c>
      <c r="E6" s="1"/>
      <c r="F6">
        <v>6</v>
      </c>
    </row>
    <row r="7" spans="1:11">
      <c r="A7" t="s">
        <v>261</v>
      </c>
      <c r="B7" s="1">
        <f>B6/F6</f>
        <v>0.11318670906339907</v>
      </c>
      <c r="D7" s="16"/>
      <c r="E7" s="1"/>
      <c r="H7" s="1"/>
    </row>
    <row r="8" spans="1:11">
      <c r="A8" t="s">
        <v>262</v>
      </c>
      <c r="B8" s="1"/>
      <c r="C8" s="1">
        <f>SQRT(B7)</f>
        <v>0.33643232464107709</v>
      </c>
      <c r="E8" s="1"/>
    </row>
    <row r="9" spans="1:11">
      <c r="A9" t="s">
        <v>263</v>
      </c>
      <c r="B9" s="1">
        <f>4*B7/(2*(C8+C8))</f>
        <v>0.33643232464107703</v>
      </c>
      <c r="D9" t="s">
        <v>311</v>
      </c>
      <c r="E9" s="1">
        <v>2</v>
      </c>
    </row>
    <row r="10" spans="1:11">
      <c r="A10" t="s">
        <v>264</v>
      </c>
      <c r="B10" s="1">
        <f>B4*B5^2/2*(1+B3/273)</f>
        <v>3.6251448652866816</v>
      </c>
      <c r="D10" t="s">
        <v>268</v>
      </c>
      <c r="E10" s="1">
        <f>9.81*E9*(1.29/(1+20/273)-B4/(1+B3/273))</f>
        <v>19.456642001578953</v>
      </c>
    </row>
    <row r="11" spans="1:11">
      <c r="A11" t="s">
        <v>265</v>
      </c>
      <c r="B11" s="1">
        <f>0.05*B9*B10/B9</f>
        <v>0.18125724326433409</v>
      </c>
      <c r="D11" t="s">
        <v>266</v>
      </c>
      <c r="E11" s="1">
        <f>1.3*B10</f>
        <v>4.7126883248726861</v>
      </c>
    </row>
    <row r="12" spans="1:11">
      <c r="A12" t="s">
        <v>267</v>
      </c>
      <c r="B12" s="1">
        <f>0.05*E9*B10/B9</f>
        <v>1.0775257309636253</v>
      </c>
      <c r="D12" t="s">
        <v>269</v>
      </c>
      <c r="E12" s="1">
        <f>0.8*B10</f>
        <v>2.9001158922293455</v>
      </c>
    </row>
    <row r="13" spans="1:11">
      <c r="A13" t="s">
        <v>270</v>
      </c>
      <c r="B13" s="1"/>
      <c r="C13" s="1">
        <f>SQRT(B7*F6/2)</f>
        <v>0.58271787958685228</v>
      </c>
      <c r="E13" s="1"/>
      <c r="K13" s="16"/>
    </row>
    <row r="14" spans="1:11">
      <c r="A14" t="s">
        <v>271</v>
      </c>
      <c r="B14" s="24">
        <f>(B3+E3)/2</f>
        <v>1269.6039819777723</v>
      </c>
      <c r="E14" s="1"/>
    </row>
    <row r="15" spans="1:11">
      <c r="A15" t="s">
        <v>272</v>
      </c>
      <c r="B15" s="1">
        <f>B4*B5^2/2*(1+B14/273)</f>
        <v>3.4884273321423227</v>
      </c>
      <c r="D15" t="s">
        <v>273</v>
      </c>
      <c r="E15" s="1">
        <f>4*C13*C13/(2*(C13+C13))</f>
        <v>0.58271787958685228</v>
      </c>
    </row>
    <row r="16" spans="1:11">
      <c r="A16" s="16" t="s">
        <v>274</v>
      </c>
      <c r="B16" s="1">
        <f>0.05*(4+1)*B15/E15</f>
        <v>1.4966193137130193</v>
      </c>
      <c r="D16" t="s">
        <v>275</v>
      </c>
      <c r="E16" s="1">
        <f>1.3*B15</f>
        <v>4.5349555317850196</v>
      </c>
      <c r="K16" s="16"/>
    </row>
    <row r="17" spans="1:11">
      <c r="A17" t="s">
        <v>276</v>
      </c>
      <c r="B17" s="24">
        <f>(B2+E2)/2</f>
        <v>2163.677130455937</v>
      </c>
      <c r="E17" s="1"/>
    </row>
    <row r="18" spans="1:11">
      <c r="A18" t="s">
        <v>277</v>
      </c>
      <c r="B18" s="1">
        <f>B17/(3600*B5)</f>
        <v>0.60102142512664913</v>
      </c>
      <c r="D18" t="s">
        <v>278</v>
      </c>
      <c r="E18" s="1">
        <f>C13</f>
        <v>0.58271787958685228</v>
      </c>
      <c r="G18" t="s">
        <v>279</v>
      </c>
      <c r="H18" s="1">
        <f>B18/E18</f>
        <v>1.0314106468687285</v>
      </c>
      <c r="J18" t="s">
        <v>316</v>
      </c>
      <c r="K18">
        <v>1</v>
      </c>
    </row>
    <row r="19" spans="1:11">
      <c r="A19" t="s">
        <v>280</v>
      </c>
      <c r="B19" s="1">
        <f>4*B18/(2*(H18+E18))</f>
        <v>0.74470082806406379</v>
      </c>
      <c r="D19" t="s">
        <v>281</v>
      </c>
      <c r="E19" s="24">
        <f>B14</f>
        <v>1269.6039819777723</v>
      </c>
      <c r="G19" t="s">
        <v>282</v>
      </c>
      <c r="H19" s="1">
        <f>B15</f>
        <v>3.4884273321423227</v>
      </c>
    </row>
    <row r="20" spans="1:11">
      <c r="A20" t="s">
        <v>283</v>
      </c>
      <c r="B20" s="1">
        <f>0.05*K18*H19/B19</f>
        <v>0.23421669485791327</v>
      </c>
      <c r="E20" s="1"/>
    </row>
    <row r="21" spans="1:11">
      <c r="A21" t="s">
        <v>313</v>
      </c>
      <c r="B21" s="6">
        <v>0.03</v>
      </c>
      <c r="D21" t="s">
        <v>314</v>
      </c>
      <c r="E21" s="25">
        <v>2.47E-2</v>
      </c>
    </row>
    <row r="22" spans="1:11">
      <c r="A22" t="s">
        <v>284</v>
      </c>
      <c r="B22" s="1">
        <f>'5 часть'!B27+1</f>
        <v>39</v>
      </c>
      <c r="C22" s="16"/>
      <c r="D22" t="s">
        <v>312</v>
      </c>
      <c r="E22" s="6">
        <f>(B23-B21)/B23</f>
        <v>0.37500000000000006</v>
      </c>
      <c r="K22" s="16"/>
    </row>
    <row r="23" spans="1:11">
      <c r="A23" t="s">
        <v>285</v>
      </c>
      <c r="B23" s="6">
        <f>1.6*B21</f>
        <v>4.8000000000000001E-2</v>
      </c>
      <c r="D23" t="s">
        <v>286</v>
      </c>
      <c r="E23" s="1">
        <f>2*B21</f>
        <v>0.06</v>
      </c>
    </row>
    <row r="24" spans="1:11">
      <c r="A24" t="s">
        <v>287</v>
      </c>
      <c r="B24" s="1">
        <v>0.2</v>
      </c>
      <c r="D24" s="2" t="s">
        <v>34</v>
      </c>
      <c r="E24" s="1">
        <v>2.85</v>
      </c>
    </row>
    <row r="25" spans="1:11">
      <c r="B25" s="1"/>
      <c r="D25" s="2"/>
      <c r="E25" s="1"/>
    </row>
    <row r="26" spans="1:11">
      <c r="A26" t="s">
        <v>288</v>
      </c>
      <c r="B26" s="1">
        <f>B22*E23/B23*B24+E24</f>
        <v>12.6</v>
      </c>
      <c r="E26" s="1"/>
    </row>
    <row r="27" spans="1:11">
      <c r="A27" t="s">
        <v>289</v>
      </c>
      <c r="B27" s="5">
        <f>(E3+H3)/2</f>
        <v>1074.9772972240664</v>
      </c>
      <c r="D27" t="s">
        <v>290</v>
      </c>
      <c r="E27" s="1">
        <f>B26*B4*B5^2/2*(1+B27/273)</f>
        <v>38.408589217440003</v>
      </c>
    </row>
    <row r="28" spans="1:11">
      <c r="A28" t="s">
        <v>291</v>
      </c>
      <c r="B28" s="5">
        <f>(H3+(H3-20))/2</f>
        <v>930.80794494549264</v>
      </c>
      <c r="D28" t="s">
        <v>292</v>
      </c>
      <c r="E28" s="1">
        <f>B4*B5^2/2*(1+B28/273)</f>
        <v>2.7222777763181263</v>
      </c>
    </row>
    <row r="29" spans="1:11">
      <c r="A29" t="s">
        <v>319</v>
      </c>
      <c r="B29" s="1">
        <f>0.05*E29*E28/B19</f>
        <v>3.6555320925249988</v>
      </c>
      <c r="D29" t="s">
        <v>315</v>
      </c>
      <c r="E29" s="1">
        <v>20</v>
      </c>
    </row>
    <row r="30" spans="1:11">
      <c r="A30" t="s">
        <v>293</v>
      </c>
      <c r="B30" s="1">
        <f>4.5*E28</f>
        <v>12.250249993431568</v>
      </c>
      <c r="D30" t="s">
        <v>294</v>
      </c>
      <c r="E30" s="1">
        <f>0.66*E28</f>
        <v>1.7967033323699635</v>
      </c>
    </row>
    <row r="31" spans="1:11">
      <c r="C31" t="s">
        <v>295</v>
      </c>
      <c r="D31" s="1">
        <f>B11+E11+B12+E10+E12+B16+E16+B20+E27+B29+B30+E30</f>
        <v>90.705095369031412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 часть</vt:lpstr>
      <vt:lpstr>2 часть</vt:lpstr>
      <vt:lpstr>3 часть</vt:lpstr>
      <vt:lpstr>4 часть</vt:lpstr>
      <vt:lpstr>5 часть</vt:lpstr>
      <vt:lpstr>6 часть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Ulchik</cp:lastModifiedBy>
  <dcterms:created xsi:type="dcterms:W3CDTF">2015-02-18T17:29:17Z</dcterms:created>
  <dcterms:modified xsi:type="dcterms:W3CDTF">2015-12-22T13:39:45Z</dcterms:modified>
</cp:coreProperties>
</file>