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480" yWindow="45" windowWidth="14370" windowHeight="4725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5" i="3"/>
  <c r="B28"/>
  <c r="B14"/>
  <c r="B34"/>
  <c r="B33"/>
  <c r="B32"/>
  <c r="C32"/>
  <c r="B31"/>
  <c r="D31"/>
  <c r="E31" s="1"/>
  <c r="F31" s="1"/>
  <c r="M30"/>
  <c r="N31"/>
  <c r="M31"/>
  <c r="N30"/>
  <c r="D10"/>
  <c r="E10"/>
  <c r="F10" s="1"/>
  <c r="G10" s="1"/>
  <c r="H10" s="1"/>
  <c r="I10" s="1"/>
  <c r="J10" s="1"/>
  <c r="C10"/>
  <c r="H21"/>
  <c r="I21"/>
  <c r="J21"/>
  <c r="H19"/>
  <c r="I19"/>
  <c r="J19"/>
  <c r="H17"/>
  <c r="I17"/>
  <c r="J17"/>
  <c r="I9"/>
  <c r="J9" s="1"/>
  <c r="H9"/>
  <c r="R25"/>
  <c r="Q25"/>
  <c r="P25"/>
  <c r="O25"/>
  <c r="N25"/>
  <c r="M25"/>
  <c r="M24"/>
  <c r="B18"/>
  <c r="B20" s="1"/>
  <c r="B9"/>
  <c r="B17" s="1"/>
  <c r="B19" s="1"/>
  <c r="B27" s="1"/>
  <c r="C22"/>
  <c r="B22"/>
  <c r="C18"/>
  <c r="C20" s="1"/>
  <c r="B13"/>
  <c r="F5"/>
  <c r="E5"/>
  <c r="C5"/>
  <c r="D5"/>
  <c r="B5"/>
  <c r="B3"/>
  <c r="B2"/>
  <c r="C16" i="2"/>
  <c r="C15" s="1"/>
  <c r="C17" s="1"/>
  <c r="C18" s="1"/>
  <c r="C14"/>
  <c r="C5"/>
  <c r="C13"/>
  <c r="C37" i="1"/>
  <c r="D37"/>
  <c r="B37"/>
  <c r="C36"/>
  <c r="D36"/>
  <c r="B36"/>
  <c r="C35"/>
  <c r="D35"/>
  <c r="B35"/>
  <c r="C10"/>
  <c r="D10"/>
  <c r="E10"/>
  <c r="F10"/>
  <c r="G10"/>
  <c r="H10"/>
  <c r="I10"/>
  <c r="J10"/>
  <c r="K10"/>
  <c r="L10"/>
  <c r="M10"/>
  <c r="N10"/>
  <c r="O10"/>
  <c r="P10"/>
  <c r="B10"/>
  <c r="G11"/>
  <c r="B6" i="3" l="1"/>
  <c r="C6"/>
  <c r="F6"/>
  <c r="D6"/>
  <c r="E6"/>
  <c r="E7"/>
  <c r="C7"/>
  <c r="B21"/>
  <c r="B23" s="1"/>
  <c r="B26" s="1"/>
  <c r="D24"/>
  <c r="C24"/>
  <c r="C25" s="1"/>
  <c r="F7"/>
  <c r="D7"/>
  <c r="C9"/>
  <c r="B24"/>
  <c r="B25" s="1"/>
  <c r="D18"/>
  <c r="D20" s="1"/>
  <c r="D22"/>
  <c r="I21" i="1"/>
  <c r="I22" s="1"/>
  <c r="I23" s="1"/>
  <c r="I24" s="1"/>
  <c r="F19"/>
  <c r="E20"/>
  <c r="E18"/>
  <c r="B29" i="3" l="1"/>
  <c r="C21"/>
  <c r="C17"/>
  <c r="C19" s="1"/>
  <c r="C27" s="1"/>
  <c r="D9"/>
  <c r="D25"/>
  <c r="B14" i="1"/>
  <c r="D11"/>
  <c r="C16" s="1"/>
  <c r="B21"/>
  <c r="L11"/>
  <c r="H16" s="1"/>
  <c r="M11"/>
  <c r="I16" s="1"/>
  <c r="N11"/>
  <c r="O11"/>
  <c r="G16" s="1"/>
  <c r="P11"/>
  <c r="F16" s="1"/>
  <c r="C11"/>
  <c r="E16" s="1"/>
  <c r="C23" i="3" l="1"/>
  <c r="C26" s="1"/>
  <c r="C29" s="1"/>
  <c r="D17"/>
  <c r="D19" s="1"/>
  <c r="D27" s="1"/>
  <c r="E9"/>
  <c r="D21"/>
  <c r="D23" s="1"/>
  <c r="D26" s="1"/>
  <c r="D29" s="1"/>
  <c r="E24"/>
  <c r="E25" s="1"/>
  <c r="E18"/>
  <c r="E20" s="1"/>
  <c r="E22"/>
  <c r="F22"/>
  <c r="F18"/>
  <c r="F20" s="1"/>
  <c r="J11" i="1"/>
  <c r="B24"/>
  <c r="F11"/>
  <c r="B20"/>
  <c r="H11"/>
  <c r="B22"/>
  <c r="B11"/>
  <c r="G18" s="1"/>
  <c r="B18"/>
  <c r="K11"/>
  <c r="B25"/>
  <c r="I11"/>
  <c r="B23"/>
  <c r="E11"/>
  <c r="B19"/>
  <c r="G26"/>
  <c r="C19"/>
  <c r="E19"/>
  <c r="F18"/>
  <c r="C20"/>
  <c r="F20"/>
  <c r="C23"/>
  <c r="E23"/>
  <c r="F21"/>
  <c r="E21"/>
  <c r="C21"/>
  <c r="C22"/>
  <c r="E22"/>
  <c r="F22"/>
  <c r="C24"/>
  <c r="F24"/>
  <c r="F23"/>
  <c r="E24"/>
  <c r="F25"/>
  <c r="E25"/>
  <c r="Q11"/>
  <c r="C25"/>
  <c r="H27" i="3" l="1"/>
  <c r="H25"/>
  <c r="H24"/>
  <c r="H22"/>
  <c r="H23" s="1"/>
  <c r="H26" s="1"/>
  <c r="H18"/>
  <c r="H20" s="1"/>
  <c r="F24"/>
  <c r="F25" s="1"/>
  <c r="F9"/>
  <c r="E21"/>
  <c r="E17"/>
  <c r="E19" s="1"/>
  <c r="E27" s="1"/>
  <c r="G18"/>
  <c r="G20" s="1"/>
  <c r="G22"/>
  <c r="B26" i="1"/>
  <c r="F26"/>
  <c r="E26"/>
  <c r="C26"/>
  <c r="I20" s="1"/>
  <c r="I25" s="1"/>
  <c r="I26" s="1"/>
  <c r="I24" i="3" l="1"/>
  <c r="I25" s="1"/>
  <c r="I22"/>
  <c r="I18"/>
  <c r="I20" s="1"/>
  <c r="I27"/>
  <c r="H29"/>
  <c r="F17"/>
  <c r="F19" s="1"/>
  <c r="F27" s="1"/>
  <c r="F21"/>
  <c r="F23" s="1"/>
  <c r="F26" s="1"/>
  <c r="G9"/>
  <c r="G24"/>
  <c r="G25" s="1"/>
  <c r="E23"/>
  <c r="E26" s="1"/>
  <c r="E29" s="1"/>
  <c r="D26" i="1"/>
  <c r="H26" s="1"/>
  <c r="K26" s="1"/>
  <c r="I23" i="3" l="1"/>
  <c r="I26" s="1"/>
  <c r="I29" s="1"/>
  <c r="F29"/>
  <c r="J27"/>
  <c r="J24"/>
  <c r="J25" s="1"/>
  <c r="J22"/>
  <c r="J18"/>
  <c r="J20" s="1"/>
  <c r="G17"/>
  <c r="G19" s="1"/>
  <c r="G27" s="1"/>
  <c r="G21"/>
  <c r="G23" s="1"/>
  <c r="G26" s="1"/>
  <c r="G29" s="1"/>
  <c r="I27" i="1"/>
  <c r="E27"/>
  <c r="K27" s="1"/>
  <c r="F27"/>
  <c r="F31" s="1"/>
  <c r="G27"/>
  <c r="G31" s="1"/>
  <c r="H27"/>
  <c r="H31" s="1"/>
  <c r="J23" i="3" l="1"/>
  <c r="J26" s="1"/>
  <c r="J29" s="1"/>
  <c r="E31" i="1"/>
  <c r="K31"/>
  <c r="B31" s="1"/>
  <c r="B32" s="1"/>
</calcChain>
</file>

<file path=xl/sharedStrings.xml><?xml version="1.0" encoding="utf-8"?>
<sst xmlns="http://schemas.openxmlformats.org/spreadsheetml/2006/main" count="136" uniqueCount="115">
  <si>
    <t>Химсостав газа</t>
  </si>
  <si>
    <t>Н2S</t>
  </si>
  <si>
    <t>C02</t>
  </si>
  <si>
    <t>O2</t>
  </si>
  <si>
    <t>CO</t>
  </si>
  <si>
    <t>H2</t>
  </si>
  <si>
    <t>CH4</t>
  </si>
  <si>
    <t>C2H6</t>
  </si>
  <si>
    <t>C3H8</t>
  </si>
  <si>
    <t>C4H10</t>
  </si>
  <si>
    <t>C5H12</t>
  </si>
  <si>
    <t>N2</t>
  </si>
  <si>
    <t>NO</t>
  </si>
  <si>
    <t>С2Н4</t>
  </si>
  <si>
    <t>SO2</t>
  </si>
  <si>
    <t>Н2О</t>
  </si>
  <si>
    <t>Саратовский</t>
  </si>
  <si>
    <t>Мелитопольский</t>
  </si>
  <si>
    <t>Шебелинский</t>
  </si>
  <si>
    <t>Ставропольский</t>
  </si>
  <si>
    <t>Коксовый газ</t>
  </si>
  <si>
    <t>Доменный газ</t>
  </si>
  <si>
    <t>Конвертерный газ</t>
  </si>
  <si>
    <t>Состав рабочей смеси,%</t>
  </si>
  <si>
    <t>Коэфииициен расхода</t>
  </si>
  <si>
    <t>Тнмпература дымового газа</t>
  </si>
  <si>
    <t>Воздух</t>
  </si>
  <si>
    <t>CO2</t>
  </si>
  <si>
    <t>Nox</t>
  </si>
  <si>
    <t>Количество компонентов</t>
  </si>
  <si>
    <t>Qxm</t>
  </si>
  <si>
    <t>Реакции грения</t>
  </si>
  <si>
    <t>Н2S+1,5О2=Н2О +SO2</t>
  </si>
  <si>
    <t>СО +0,5 O2= CO2</t>
  </si>
  <si>
    <t>H2 +0,5O2 = H2O</t>
  </si>
  <si>
    <t>CH4+2O2=CO2 +2H2O</t>
  </si>
  <si>
    <t>C2H6+ 3,5O2=2CO2 +3H2O</t>
  </si>
  <si>
    <t>C3H8+5O2=3CO2+3Н2О</t>
  </si>
  <si>
    <t>C4H10+6,5 O2=4CO2 +5H2O</t>
  </si>
  <si>
    <t>C5H12+ 8O2=5CO2 +6H2O</t>
  </si>
  <si>
    <t>Состав дымовых газов</t>
  </si>
  <si>
    <t>Температура  дымового газа</t>
  </si>
  <si>
    <t>Температура воздуха</t>
  </si>
  <si>
    <t>Теплоемкость воздуха</t>
  </si>
  <si>
    <t>Теплоемкость дымового газа</t>
  </si>
  <si>
    <t>Калориметрическая температура</t>
  </si>
  <si>
    <t>Доля газа</t>
  </si>
  <si>
    <t>Окислитель и продукты горения</t>
  </si>
  <si>
    <t>Состав рабочей смеси, в долях</t>
  </si>
  <si>
    <t>Итого, м3</t>
  </si>
  <si>
    <t>Объем дыма</t>
  </si>
  <si>
    <t>Расчет горения газа (1 м3)</t>
  </si>
  <si>
    <t>Расход топлива м3/с</t>
  </si>
  <si>
    <t>источник 1</t>
  </si>
  <si>
    <t>источник 2</t>
  </si>
  <si>
    <t>источник 3</t>
  </si>
  <si>
    <t>Расход топлива м3/час</t>
  </si>
  <si>
    <t>NO, мощность выброса г/с</t>
  </si>
  <si>
    <t>SO мощность выброса , г/с</t>
  </si>
  <si>
    <t>Расход дымового газа , м3/с</t>
  </si>
  <si>
    <t>кДж</t>
  </si>
  <si>
    <t>Расчет ПДС</t>
  </si>
  <si>
    <t>Расход воды в водоеме</t>
  </si>
  <si>
    <t>Расход воды в стоке</t>
  </si>
  <si>
    <t>ПДК вешества в водоеме</t>
  </si>
  <si>
    <t>Фоновая концент вещества</t>
  </si>
  <si>
    <t>Глубина водоема</t>
  </si>
  <si>
    <t>Средняя скорость течения реки</t>
  </si>
  <si>
    <t>Коэффициент места выпуска</t>
  </si>
  <si>
    <t>в стрежень</t>
  </si>
  <si>
    <t>Коэффициент извилистости</t>
  </si>
  <si>
    <t>Коэффициент смешения</t>
  </si>
  <si>
    <t>Рас. от места спуска до расчет</t>
  </si>
  <si>
    <t>Расстояние по прямой</t>
  </si>
  <si>
    <t>L</t>
  </si>
  <si>
    <t>l</t>
  </si>
  <si>
    <t>H</t>
  </si>
  <si>
    <t>a</t>
  </si>
  <si>
    <t>Е</t>
  </si>
  <si>
    <t>ф</t>
  </si>
  <si>
    <t>Величина</t>
  </si>
  <si>
    <t>y</t>
  </si>
  <si>
    <t>Максимальная концентрация</t>
  </si>
  <si>
    <t>См</t>
  </si>
  <si>
    <t>Расчет скорости седиментации</t>
  </si>
  <si>
    <t>Вязкость воздуха</t>
  </si>
  <si>
    <t>Плотность воздуха</t>
  </si>
  <si>
    <t xml:space="preserve">Плотность частиц </t>
  </si>
  <si>
    <t>Размер частиц</t>
  </si>
  <si>
    <t>Скорость седиментации</t>
  </si>
  <si>
    <t>Логарифм скорости сед</t>
  </si>
  <si>
    <t>Расчет  размера частиц пыли</t>
  </si>
  <si>
    <t>Температура расплава</t>
  </si>
  <si>
    <t>Температура ос</t>
  </si>
  <si>
    <t>Расход газа</t>
  </si>
  <si>
    <t>Длина газохода</t>
  </si>
  <si>
    <t>Диаметр реакционной зоны</t>
  </si>
  <si>
    <t>Диаметр конвертера</t>
  </si>
  <si>
    <t>Логарифм давления</t>
  </si>
  <si>
    <t>Коэффициент диффузии</t>
  </si>
  <si>
    <t>Концентрация паров</t>
  </si>
  <si>
    <t>Парциальное давление при Т</t>
  </si>
  <si>
    <t>Парциальное давление при То</t>
  </si>
  <si>
    <t>Концентрация насыщения То</t>
  </si>
  <si>
    <t>Логарифм давления ОС</t>
  </si>
  <si>
    <t xml:space="preserve">Скорость дистиляции </t>
  </si>
  <si>
    <t>Активность при Т</t>
  </si>
  <si>
    <t>Активность при То</t>
  </si>
  <si>
    <t>Площадь реакционной зоны</t>
  </si>
  <si>
    <t>Площадь пор сеч конвертера</t>
  </si>
  <si>
    <t xml:space="preserve"> </t>
  </si>
  <si>
    <t>Время</t>
  </si>
  <si>
    <t xml:space="preserve"> размер пыли</t>
  </si>
  <si>
    <t>Вязкость газа</t>
  </si>
  <si>
    <t>Объем газа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</si>
</sst>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48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1" xfId="3" applyFont="1" applyFill="1" applyBorder="1" applyAlignment="1">
      <alignment horizontal="center"/>
    </xf>
    <xf numFmtId="0" fontId="1" fillId="0" borderId="0" xfId="3"/>
    <xf numFmtId="0" fontId="2" fillId="0" borderId="0" xfId="3" applyFont="1"/>
    <xf numFmtId="0" fontId="3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64" fontId="1" fillId="0" borderId="0" xfId="3" applyNumberForma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1" applyFont="1" applyAlignment="1">
      <alignment horizontal="center"/>
    </xf>
    <xf numFmtId="164" fontId="5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2" fillId="0" borderId="0" xfId="3" applyFont="1" applyFill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4">
    <cellStyle name="Обычный" xfId="0" builtinId="0"/>
    <cellStyle name="Обычный 2" xfId="1"/>
    <cellStyle name="Обычный_Лист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Лист3!$M$21:$R$21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1100</c:v>
                </c:pt>
                <c:pt idx="5">
                  <c:v>1400</c:v>
                </c:pt>
              </c:numCache>
            </c:numRef>
          </c:xVal>
          <c:yVal>
            <c:numRef>
              <c:f>Лист3!$M$22:$R$22</c:f>
              <c:numCache>
                <c:formatCode>General</c:formatCode>
                <c:ptCount val="6"/>
                <c:pt idx="0">
                  <c:v>6.9228703493929796E-4</c:v>
                </c:pt>
                <c:pt idx="1">
                  <c:v>2.0389640218482302E-2</c:v>
                </c:pt>
                <c:pt idx="2">
                  <c:v>0.29334480958852449</c:v>
                </c:pt>
                <c:pt idx="3">
                  <c:v>2.5289484909882005</c:v>
                </c:pt>
                <c:pt idx="4">
                  <c:v>14.961434880793416</c:v>
                </c:pt>
                <c:pt idx="5">
                  <c:v>66.493346593805825</c:v>
                </c:pt>
              </c:numCache>
            </c:numRef>
          </c:yVal>
          <c:smooth val="1"/>
        </c:ser>
        <c:dLbls/>
        <c:axId val="64262144"/>
        <c:axId val="64260352"/>
      </c:scatterChart>
      <c:valAx>
        <c:axId val="642621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температура, град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4260352"/>
        <c:crosses val="autoZero"/>
        <c:crossBetween val="midCat"/>
      </c:valAx>
      <c:valAx>
        <c:axId val="6426035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aseline="0"/>
                  <a:t>Размер частиц, мкм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426214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76200</xdr:rowOff>
    </xdr:from>
    <xdr:to>
      <xdr:col>17</xdr:col>
      <xdr:colOff>495300</xdr:colOff>
      <xdr:row>19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B37" sqref="B37:D37"/>
    </sheetView>
  </sheetViews>
  <sheetFormatPr defaultRowHeight="15"/>
  <cols>
    <col min="1" max="1" width="32.140625" customWidth="1"/>
    <col min="2" max="2" width="11.85546875" customWidth="1"/>
    <col min="3" max="3" width="11.140625" customWidth="1"/>
    <col min="4" max="4" width="10.5703125" customWidth="1"/>
    <col min="11" max="11" width="13" customWidth="1"/>
    <col min="17" max="17" width="14.28515625" customWidth="1"/>
  </cols>
  <sheetData>
    <row r="1" spans="1:18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46</v>
      </c>
    </row>
    <row r="3" spans="1:18">
      <c r="A3" s="2" t="s">
        <v>16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94</v>
      </c>
      <c r="H3" s="5">
        <v>1.2</v>
      </c>
      <c r="I3" s="5">
        <v>0.7</v>
      </c>
      <c r="J3" s="5">
        <v>0.4</v>
      </c>
      <c r="K3" s="5">
        <v>0.2</v>
      </c>
      <c r="L3" s="5">
        <v>3.5</v>
      </c>
      <c r="M3" s="5"/>
      <c r="N3" s="5"/>
      <c r="O3" s="5"/>
      <c r="P3" s="5">
        <v>0</v>
      </c>
      <c r="Q3" s="5">
        <v>1</v>
      </c>
    </row>
    <row r="4" spans="1:18">
      <c r="A4" s="2" t="s">
        <v>17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97.9</v>
      </c>
      <c r="H4" s="5">
        <v>0</v>
      </c>
      <c r="I4" s="5"/>
      <c r="J4" s="5">
        <v>0.1</v>
      </c>
      <c r="K4" s="5"/>
      <c r="L4" s="5">
        <v>2</v>
      </c>
      <c r="M4" s="5"/>
      <c r="N4" s="5"/>
      <c r="O4" s="5"/>
      <c r="P4" s="5">
        <v>0</v>
      </c>
      <c r="Q4" s="5">
        <v>0</v>
      </c>
    </row>
    <row r="5" spans="1:18">
      <c r="A5" s="2" t="s">
        <v>18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93.5</v>
      </c>
      <c r="H5" s="5">
        <v>4</v>
      </c>
      <c r="I5" s="5">
        <v>1</v>
      </c>
      <c r="J5" s="5">
        <v>0.5</v>
      </c>
      <c r="K5" s="5">
        <v>0.5</v>
      </c>
      <c r="L5" s="5">
        <v>0.5</v>
      </c>
      <c r="M5" s="5"/>
      <c r="N5" s="5"/>
      <c r="O5" s="5"/>
      <c r="P5" s="5">
        <v>0</v>
      </c>
      <c r="Q5" s="5">
        <v>0</v>
      </c>
    </row>
    <row r="6" spans="1:18">
      <c r="A6" s="2" t="s">
        <v>19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98</v>
      </c>
      <c r="H6" s="5">
        <v>0.4</v>
      </c>
      <c r="I6" s="5">
        <v>0.2</v>
      </c>
      <c r="J6" s="5"/>
      <c r="K6" s="5"/>
      <c r="L6" s="5">
        <v>1.4</v>
      </c>
      <c r="M6" s="5"/>
      <c r="N6" s="5"/>
      <c r="O6" s="5"/>
      <c r="P6" s="5">
        <v>0</v>
      </c>
      <c r="Q6" s="5">
        <v>0</v>
      </c>
    </row>
    <row r="7" spans="1:18">
      <c r="A7" s="2" t="s">
        <v>20</v>
      </c>
      <c r="B7" s="5">
        <v>0.4</v>
      </c>
      <c r="C7" s="5">
        <v>1.88</v>
      </c>
      <c r="D7" s="5">
        <v>0.61</v>
      </c>
      <c r="E7" s="5">
        <v>7.21</v>
      </c>
      <c r="F7" s="5">
        <v>54.72</v>
      </c>
      <c r="G7" s="5">
        <v>25.27</v>
      </c>
      <c r="H7" s="5">
        <v>0</v>
      </c>
      <c r="I7" s="5"/>
      <c r="J7" s="5"/>
      <c r="K7" s="5"/>
      <c r="L7" s="5">
        <v>3.85</v>
      </c>
      <c r="M7" s="5"/>
      <c r="N7" s="5">
        <v>3.04</v>
      </c>
      <c r="O7" s="5"/>
      <c r="P7" s="5">
        <v>3.02</v>
      </c>
      <c r="Q7" s="5">
        <v>0</v>
      </c>
    </row>
    <row r="8" spans="1:18">
      <c r="A8" s="2" t="s">
        <v>21</v>
      </c>
      <c r="B8" s="5">
        <v>0</v>
      </c>
      <c r="C8" s="5">
        <v>18.829946717212895</v>
      </c>
      <c r="D8" s="5">
        <v>0</v>
      </c>
      <c r="E8" s="5">
        <v>24.849101617607364</v>
      </c>
      <c r="F8" s="5">
        <v>5.0375839634981068</v>
      </c>
      <c r="G8" s="5">
        <v>3.6609125585227638</v>
      </c>
      <c r="H8" s="5">
        <v>0</v>
      </c>
      <c r="I8" s="5"/>
      <c r="J8" s="5"/>
      <c r="K8" s="5"/>
      <c r="L8" s="5">
        <v>43.038382474008692</v>
      </c>
      <c r="M8" s="5">
        <v>4.4508841518985454E-3</v>
      </c>
      <c r="N8" s="5"/>
      <c r="O8" s="5">
        <v>0</v>
      </c>
      <c r="P8" s="5">
        <v>4.5796217849982774</v>
      </c>
      <c r="Q8" s="5">
        <v>0</v>
      </c>
    </row>
    <row r="9" spans="1:18">
      <c r="A9" s="2" t="s">
        <v>22</v>
      </c>
      <c r="B9" s="5">
        <v>0</v>
      </c>
      <c r="C9" s="5">
        <v>14.594982682829119</v>
      </c>
      <c r="D9" s="5">
        <v>0</v>
      </c>
      <c r="E9" s="5">
        <v>84.887395924313296</v>
      </c>
      <c r="F9" s="5">
        <v>0</v>
      </c>
      <c r="G9" s="5">
        <v>0</v>
      </c>
      <c r="H9" s="5"/>
      <c r="I9" s="5"/>
      <c r="J9" s="5"/>
      <c r="K9" s="5"/>
      <c r="L9" s="5">
        <v>0.40763964879449549</v>
      </c>
      <c r="M9" s="5">
        <v>8.6065033166281613E-2</v>
      </c>
      <c r="N9" s="5"/>
      <c r="O9" s="5">
        <v>2.3916710896796124E-2</v>
      </c>
      <c r="P9" s="5">
        <v>0</v>
      </c>
      <c r="Q9" s="5">
        <v>0</v>
      </c>
    </row>
    <row r="10" spans="1:18">
      <c r="A10" s="3" t="s">
        <v>23</v>
      </c>
      <c r="B10" s="6">
        <f>B3*$Q$3+B4*$Q$4+B5*$Q$5+B6*$Q$6+B7*$Q$7+B8*$Q$8+B9*$Q$9</f>
        <v>0</v>
      </c>
      <c r="C10" s="6">
        <f t="shared" ref="C10:P10" si="0">C3*$Q$3+C4*$Q$4+C5*$Q$5+C6*$Q$6+C7*$Q$7+C8*$Q$8+C9*$Q$9</f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94</v>
      </c>
      <c r="H10" s="6">
        <f t="shared" si="0"/>
        <v>1.2</v>
      </c>
      <c r="I10" s="6">
        <f t="shared" si="0"/>
        <v>0.7</v>
      </c>
      <c r="J10" s="6">
        <f t="shared" si="0"/>
        <v>0.4</v>
      </c>
      <c r="K10" s="6">
        <f t="shared" si="0"/>
        <v>0.2</v>
      </c>
      <c r="L10" s="6">
        <f t="shared" si="0"/>
        <v>3.5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/>
    </row>
    <row r="11" spans="1:18">
      <c r="A11" s="3" t="s">
        <v>48</v>
      </c>
      <c r="B11" s="10">
        <f>B10/100</f>
        <v>0</v>
      </c>
      <c r="C11" s="10">
        <f t="shared" ref="C11:P11" si="1">C10/100</f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>G10/100</f>
        <v>0.94</v>
      </c>
      <c r="H11" s="10">
        <f t="shared" si="1"/>
        <v>1.2E-2</v>
      </c>
      <c r="I11" s="10">
        <f t="shared" si="1"/>
        <v>6.9999999999999993E-3</v>
      </c>
      <c r="J11" s="10">
        <f t="shared" si="1"/>
        <v>4.0000000000000001E-3</v>
      </c>
      <c r="K11" s="10">
        <f t="shared" si="1"/>
        <v>2E-3</v>
      </c>
      <c r="L11" s="10">
        <f t="shared" si="1"/>
        <v>3.5000000000000003E-2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6">
        <f>SUM(B11:P11)</f>
        <v>1</v>
      </c>
    </row>
    <row r="12" spans="1:18">
      <c r="A12" s="3"/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1" t="s">
        <v>12</v>
      </c>
      <c r="N12" s="11" t="s">
        <v>13</v>
      </c>
      <c r="O12" s="11" t="s">
        <v>14</v>
      </c>
      <c r="P12" s="11" t="s">
        <v>15</v>
      </c>
      <c r="Q12" s="6"/>
    </row>
    <row r="13" spans="1:18">
      <c r="A13" s="3" t="s">
        <v>24</v>
      </c>
      <c r="B13" s="6">
        <v>1.1000000000000001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8">
      <c r="A14" s="3" t="s">
        <v>25</v>
      </c>
      <c r="B14" s="6">
        <f>1920</f>
        <v>1920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8">
      <c r="A15" s="3" t="s">
        <v>47</v>
      </c>
      <c r="B15" s="4"/>
      <c r="C15" s="12" t="s">
        <v>3</v>
      </c>
      <c r="D15" s="12" t="s">
        <v>26</v>
      </c>
      <c r="E15" s="12" t="s">
        <v>27</v>
      </c>
      <c r="F15" s="12" t="s">
        <v>15</v>
      </c>
      <c r="G15" s="12" t="s">
        <v>14</v>
      </c>
      <c r="H15" s="12" t="s">
        <v>11</v>
      </c>
      <c r="I15" s="12" t="s">
        <v>28</v>
      </c>
      <c r="J15" s="12" t="s">
        <v>4</v>
      </c>
      <c r="K15" s="4" t="s">
        <v>50</v>
      </c>
      <c r="L15" s="4"/>
      <c r="M15" s="4"/>
      <c r="N15" s="4"/>
      <c r="O15" s="4"/>
      <c r="P15" s="4"/>
      <c r="Q15" s="4"/>
    </row>
    <row r="16" spans="1:18">
      <c r="A16" s="3" t="s">
        <v>29</v>
      </c>
      <c r="B16" s="7" t="s">
        <v>30</v>
      </c>
      <c r="C16" s="7">
        <f>D11</f>
        <v>0</v>
      </c>
      <c r="D16" s="7">
        <v>0</v>
      </c>
      <c r="E16" s="7">
        <f>C11</f>
        <v>0</v>
      </c>
      <c r="F16" s="7">
        <f>P11</f>
        <v>0</v>
      </c>
      <c r="G16" s="7">
        <f>O11</f>
        <v>0</v>
      </c>
      <c r="H16" s="7">
        <f>L11</f>
        <v>3.5000000000000003E-2</v>
      </c>
      <c r="I16" s="8">
        <f>M11</f>
        <v>0</v>
      </c>
      <c r="J16" s="7">
        <v>0</v>
      </c>
      <c r="K16" s="4"/>
      <c r="L16" s="4"/>
      <c r="M16" s="4"/>
      <c r="N16" s="4"/>
      <c r="O16" s="4"/>
      <c r="P16" s="4"/>
      <c r="Q16" s="4"/>
      <c r="R16" s="4"/>
    </row>
    <row r="17" spans="1:17">
      <c r="A17" s="3" t="s">
        <v>31</v>
      </c>
      <c r="B17" s="2" t="s">
        <v>60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9"/>
    </row>
    <row r="18" spans="1:17">
      <c r="A18" s="2" t="s">
        <v>32</v>
      </c>
      <c r="B18">
        <f>234*B10</f>
        <v>0</v>
      </c>
      <c r="E18">
        <f>0</f>
        <v>0</v>
      </c>
      <c r="F18">
        <f>B11</f>
        <v>0</v>
      </c>
      <c r="G18">
        <f>B11</f>
        <v>0</v>
      </c>
      <c r="Q18" s="9"/>
    </row>
    <row r="19" spans="1:17">
      <c r="A19" s="2" t="s">
        <v>33</v>
      </c>
      <c r="B19" s="9">
        <f>127*E10</f>
        <v>0</v>
      </c>
      <c r="C19" s="9">
        <f>0.5*E11</f>
        <v>0</v>
      </c>
      <c r="D19" s="9"/>
      <c r="E19" s="9">
        <f>E11</f>
        <v>0</v>
      </c>
      <c r="F19" s="9">
        <f>0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>
      <c r="A20" s="2" t="s">
        <v>34</v>
      </c>
      <c r="B20" s="9">
        <f>108*F10</f>
        <v>0</v>
      </c>
      <c r="C20" s="9">
        <f>0.5*F11</f>
        <v>0</v>
      </c>
      <c r="D20" s="9"/>
      <c r="E20" s="9">
        <f>0</f>
        <v>0</v>
      </c>
      <c r="F20" s="9">
        <f>F11</f>
        <v>0</v>
      </c>
      <c r="G20" s="9"/>
      <c r="H20" s="9"/>
      <c r="I20" s="9">
        <f>0.03*C26/22.4*30</f>
        <v>8.095982142857143E-2</v>
      </c>
      <c r="J20" s="9"/>
      <c r="K20" s="9"/>
      <c r="L20" s="9"/>
      <c r="M20" s="9"/>
      <c r="N20" s="9"/>
      <c r="O20" s="9"/>
      <c r="P20" s="9"/>
      <c r="Q20" s="9"/>
    </row>
    <row r="21" spans="1:17">
      <c r="A21" s="2" t="s">
        <v>35</v>
      </c>
      <c r="B21" s="9">
        <f>358*G10</f>
        <v>33652</v>
      </c>
      <c r="C21" s="9">
        <f>2*G11</f>
        <v>1.88</v>
      </c>
      <c r="D21" s="9"/>
      <c r="E21" s="9">
        <f>G11</f>
        <v>0.94</v>
      </c>
      <c r="F21" s="9">
        <f>2*G11</f>
        <v>1.88</v>
      </c>
      <c r="G21" s="9"/>
      <c r="H21" s="9"/>
      <c r="I21" s="9">
        <f>-4786/(B28+273)+0.66</f>
        <v>-1.454891736632788</v>
      </c>
      <c r="J21" s="9"/>
      <c r="K21" s="9"/>
      <c r="L21" s="9"/>
      <c r="M21" s="9"/>
      <c r="N21" s="9"/>
      <c r="O21" s="9"/>
      <c r="P21" s="9"/>
      <c r="Q21" s="9"/>
    </row>
    <row r="22" spans="1:17">
      <c r="A22" s="2" t="s">
        <v>36</v>
      </c>
      <c r="B22" s="9">
        <f>636*H10</f>
        <v>763.19999999999993</v>
      </c>
      <c r="C22" s="9">
        <f>3.5*H11</f>
        <v>4.2000000000000003E-2</v>
      </c>
      <c r="D22" s="9"/>
      <c r="E22" s="9">
        <f>2*H11</f>
        <v>2.4E-2</v>
      </c>
      <c r="F22" s="9">
        <f>3*H11</f>
        <v>3.6000000000000004E-2</v>
      </c>
      <c r="G22" s="9"/>
      <c r="H22" s="9"/>
      <c r="I22" s="9">
        <f>POWER(10,I21)</f>
        <v>3.5083932224868802E-2</v>
      </c>
      <c r="J22" s="9"/>
      <c r="K22" s="9"/>
      <c r="L22" s="9"/>
      <c r="M22" s="9"/>
      <c r="N22" s="9"/>
      <c r="O22" s="9"/>
      <c r="P22" s="9"/>
      <c r="Q22" s="9"/>
    </row>
    <row r="23" spans="1:17">
      <c r="A23" s="2" t="s">
        <v>37</v>
      </c>
      <c r="B23" s="9">
        <f>913*I10</f>
        <v>639.09999999999991</v>
      </c>
      <c r="C23" s="9">
        <f>5*I11</f>
        <v>3.4999999999999996E-2</v>
      </c>
      <c r="D23" s="9"/>
      <c r="E23" s="9">
        <f>3*I11</f>
        <v>2.0999999999999998E-2</v>
      </c>
      <c r="F23" s="9">
        <f>3*J11</f>
        <v>1.2E-2</v>
      </c>
      <c r="G23" s="9"/>
      <c r="H23" s="9"/>
      <c r="I23" s="9">
        <f>I22*0.21/0.79</f>
        <v>9.3261085661043644E-3</v>
      </c>
      <c r="J23" s="9"/>
      <c r="K23" s="9"/>
      <c r="L23" s="9"/>
      <c r="M23" s="9"/>
      <c r="N23" s="9"/>
      <c r="O23" s="9"/>
      <c r="P23" s="9"/>
      <c r="Q23" s="9"/>
    </row>
    <row r="24" spans="1:17">
      <c r="A24" s="2" t="s">
        <v>38</v>
      </c>
      <c r="B24" s="9">
        <f>1185*J10</f>
        <v>474</v>
      </c>
      <c r="C24" s="9">
        <f>6.5*J11</f>
        <v>2.6000000000000002E-2</v>
      </c>
      <c r="D24" s="9"/>
      <c r="E24" s="9">
        <f>4*J11</f>
        <v>1.6E-2</v>
      </c>
      <c r="F24" s="9">
        <f>5*J11</f>
        <v>0.02</v>
      </c>
      <c r="G24" s="9"/>
      <c r="H24" s="9"/>
      <c r="I24" s="2">
        <f>POWER(I23,0.5)</f>
        <v>9.6571779346268469E-2</v>
      </c>
      <c r="J24" s="9"/>
      <c r="K24" s="9"/>
      <c r="L24" s="9"/>
      <c r="M24" s="9"/>
      <c r="N24" s="9"/>
      <c r="O24" s="9"/>
      <c r="P24" s="9"/>
      <c r="Q24" s="9"/>
    </row>
    <row r="25" spans="1:17">
      <c r="A25" s="2" t="s">
        <v>39</v>
      </c>
      <c r="B25" s="9">
        <f>1465*K10</f>
        <v>293</v>
      </c>
      <c r="C25" s="9">
        <f>8*J11</f>
        <v>3.2000000000000001E-2</v>
      </c>
      <c r="D25" s="9"/>
      <c r="E25" s="9">
        <f>5*K11</f>
        <v>0.01</v>
      </c>
      <c r="F25" s="9">
        <f>6*K11</f>
        <v>1.2E-2</v>
      </c>
      <c r="G25" s="9"/>
      <c r="H25" s="9"/>
      <c r="I25" s="9">
        <f>I20*I24</f>
        <v>7.8184340109132971E-3</v>
      </c>
      <c r="J25" s="9"/>
      <c r="K25" s="9"/>
      <c r="L25" s="9"/>
      <c r="M25" s="9"/>
      <c r="N25" s="9"/>
      <c r="O25" s="9"/>
      <c r="P25" s="9"/>
      <c r="Q25" s="9"/>
    </row>
    <row r="26" spans="1:17">
      <c r="A26" s="2" t="s">
        <v>49</v>
      </c>
      <c r="B26" s="9">
        <f>SUM(B18:B25)</f>
        <v>35821.299999999996</v>
      </c>
      <c r="C26" s="9">
        <f>SUM(C19:C25)</f>
        <v>2.0149999999999997</v>
      </c>
      <c r="D26" s="9">
        <f>B13*C26/0.21</f>
        <v>10.554761904761905</v>
      </c>
      <c r="E26" s="13">
        <f>SUM(E16:E25)</f>
        <v>1.0109999999999999</v>
      </c>
      <c r="F26" s="13">
        <f>SUM(F16:F25)</f>
        <v>1.96</v>
      </c>
      <c r="G26" s="13">
        <f>SUM(G16:G25)</f>
        <v>0</v>
      </c>
      <c r="H26" s="13">
        <f>D26*0.79+H16</f>
        <v>8.3732619047619057</v>
      </c>
      <c r="I26" s="14">
        <f>I25</f>
        <v>7.8184340109132971E-3</v>
      </c>
      <c r="J26" s="13"/>
      <c r="K26" s="13">
        <f>SUM(E26:J26)</f>
        <v>11.352080338772819</v>
      </c>
      <c r="L26" s="9"/>
      <c r="M26" s="9"/>
      <c r="N26" s="9"/>
      <c r="O26" s="9"/>
      <c r="P26" s="9"/>
      <c r="Q26" s="9"/>
    </row>
    <row r="27" spans="1:17">
      <c r="A27" s="3" t="s">
        <v>40</v>
      </c>
      <c r="B27" s="7"/>
      <c r="C27" s="7"/>
      <c r="D27" s="7"/>
      <c r="E27" s="7">
        <f>E26/K26</f>
        <v>8.905856634461512E-2</v>
      </c>
      <c r="F27" s="7">
        <f>F26/K26</f>
        <v>0.17265557867007481</v>
      </c>
      <c r="G27" s="7">
        <f>G26/K26</f>
        <v>0</v>
      </c>
      <c r="H27" s="7">
        <f>H26/K26</f>
        <v>0.73759713240957125</v>
      </c>
      <c r="I27" s="8">
        <f>I26/K26</f>
        <v>6.8872257573879053E-4</v>
      </c>
      <c r="J27" s="7"/>
      <c r="K27" s="7">
        <f>SUM(E27:J27)</f>
        <v>1</v>
      </c>
      <c r="L27" s="7"/>
      <c r="M27" s="7"/>
      <c r="N27" s="7"/>
      <c r="O27" s="7"/>
      <c r="P27" s="7"/>
      <c r="Q27" s="7"/>
    </row>
    <row r="28" spans="1:17">
      <c r="A28" s="3" t="s">
        <v>41</v>
      </c>
      <c r="B28" s="7">
        <v>1990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3" t="s">
        <v>42</v>
      </c>
      <c r="B29" s="7">
        <v>20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3" t="s">
        <v>43</v>
      </c>
      <c r="B30" s="2">
        <v>1.30264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3" t="s">
        <v>44</v>
      </c>
      <c r="B31" s="7">
        <f>K31</f>
        <v>1.5956154049856619</v>
      </c>
      <c r="C31" s="2"/>
      <c r="D31" s="7"/>
      <c r="E31" s="2">
        <f>E27*(1.48+0.0006*B28)</f>
        <v>0.23814260640550083</v>
      </c>
      <c r="F31" s="2">
        <f>F27*(1.4+0.00022*F27)</f>
        <v>0.24172436832685082</v>
      </c>
      <c r="G31" s="2">
        <f>G27*(1.4+0.00022*B28)</f>
        <v>0</v>
      </c>
      <c r="H31" s="2">
        <f>H27*(1.25+0.000132*B28)</f>
        <v>1.1157484302533103</v>
      </c>
      <c r="I31" s="7"/>
      <c r="J31" s="2"/>
      <c r="K31" s="7">
        <f>SUM(E31:J31)</f>
        <v>1.5956154049856619</v>
      </c>
      <c r="L31" s="7"/>
      <c r="M31" s="7"/>
      <c r="N31" s="7"/>
      <c r="O31" s="7"/>
      <c r="P31" s="7"/>
      <c r="Q31" s="7"/>
    </row>
    <row r="32" spans="1:17">
      <c r="A32" s="3" t="s">
        <v>45</v>
      </c>
      <c r="B32" s="7">
        <f>(B26+B29*D26*B30)/(B31*K26)</f>
        <v>1992.7773737015168</v>
      </c>
      <c r="C32" s="2"/>
      <c r="D32" s="7"/>
      <c r="E32" s="2"/>
      <c r="F32" s="2"/>
      <c r="G32" s="2"/>
      <c r="H32" s="2"/>
      <c r="I32" s="7"/>
      <c r="J32" s="2"/>
      <c r="K32" s="7"/>
      <c r="L32" s="7"/>
      <c r="M32" s="7"/>
      <c r="N32" s="7"/>
      <c r="O32" s="7"/>
      <c r="P32" s="7"/>
      <c r="Q32" s="7"/>
    </row>
    <row r="33" spans="1:4">
      <c r="B33" t="s">
        <v>53</v>
      </c>
      <c r="C33" t="s">
        <v>54</v>
      </c>
      <c r="D33" t="s">
        <v>55</v>
      </c>
    </row>
    <row r="34" spans="1:4">
      <c r="A34" s="15" t="s">
        <v>56</v>
      </c>
      <c r="B34">
        <v>14000</v>
      </c>
      <c r="C34">
        <v>10000</v>
      </c>
      <c r="D34">
        <v>7000</v>
      </c>
    </row>
    <row r="35" spans="1:4">
      <c r="A35" s="15" t="s">
        <v>52</v>
      </c>
      <c r="B35">
        <f>B34/3600</f>
        <v>3.8888888888888888</v>
      </c>
      <c r="C35">
        <f t="shared" ref="C35:D35" si="2">C34/3600</f>
        <v>2.7777777777777777</v>
      </c>
      <c r="D35">
        <f t="shared" si="2"/>
        <v>1.9444444444444444</v>
      </c>
    </row>
    <row r="36" spans="1:4">
      <c r="A36" s="15" t="s">
        <v>59</v>
      </c>
      <c r="B36">
        <f>$K$26*B35</f>
        <v>44.146979095227628</v>
      </c>
      <c r="C36">
        <f t="shared" ref="C36:D36" si="3">$K$26*C35</f>
        <v>31.53355649659116</v>
      </c>
      <c r="D36">
        <f t="shared" si="3"/>
        <v>22.073489547613814</v>
      </c>
    </row>
    <row r="37" spans="1:4">
      <c r="A37" t="s">
        <v>57</v>
      </c>
      <c r="B37">
        <f>$I$26*1000*B35</f>
        <v>30.405021153551708</v>
      </c>
      <c r="C37">
        <f t="shared" ref="C37:D37" si="4">$I$26*1000*C35</f>
        <v>21.717872252536935</v>
      </c>
      <c r="D37">
        <f t="shared" si="4"/>
        <v>15.202510576775854</v>
      </c>
    </row>
    <row r="38" spans="1:4">
      <c r="A38" s="15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M17" sqref="M17"/>
    </sheetView>
  </sheetViews>
  <sheetFormatPr defaultRowHeight="15"/>
  <cols>
    <col min="1" max="1" width="29.140625" customWidth="1"/>
    <col min="3" max="3" width="10.28515625" bestFit="1" customWidth="1"/>
  </cols>
  <sheetData>
    <row r="1" spans="1:3">
      <c r="A1" s="16" t="s">
        <v>61</v>
      </c>
    </row>
    <row r="3" spans="1:3">
      <c r="A3" t="s">
        <v>62</v>
      </c>
      <c r="C3">
        <v>2500</v>
      </c>
    </row>
    <row r="4" spans="1:3">
      <c r="A4" t="s">
        <v>63</v>
      </c>
      <c r="C4">
        <v>1</v>
      </c>
    </row>
    <row r="5" spans="1:3">
      <c r="A5" t="s">
        <v>64</v>
      </c>
      <c r="C5">
        <f>0.3</f>
        <v>0.3</v>
      </c>
    </row>
    <row r="6" spans="1:3">
      <c r="A6" t="s">
        <v>65</v>
      </c>
      <c r="C6">
        <v>0.2</v>
      </c>
    </row>
    <row r="7" spans="1:3">
      <c r="A7" t="s">
        <v>72</v>
      </c>
      <c r="B7" t="s">
        <v>74</v>
      </c>
      <c r="C7">
        <v>75</v>
      </c>
    </row>
    <row r="8" spans="1:3">
      <c r="A8" t="s">
        <v>73</v>
      </c>
      <c r="B8" t="s">
        <v>75</v>
      </c>
      <c r="C8">
        <v>45</v>
      </c>
    </row>
    <row r="9" spans="1:3">
      <c r="A9" t="s">
        <v>66</v>
      </c>
      <c r="B9" t="s">
        <v>76</v>
      </c>
      <c r="C9">
        <v>10</v>
      </c>
    </row>
    <row r="10" spans="1:3">
      <c r="A10" t="s">
        <v>67</v>
      </c>
      <c r="C10">
        <v>0.8</v>
      </c>
    </row>
    <row r="11" spans="1:3">
      <c r="A11" t="s">
        <v>68</v>
      </c>
      <c r="C11">
        <v>1</v>
      </c>
    </row>
    <row r="12" spans="1:3">
      <c r="A12" t="s">
        <v>69</v>
      </c>
      <c r="C12">
        <v>1.5</v>
      </c>
    </row>
    <row r="13" spans="1:3">
      <c r="A13" t="s">
        <v>70</v>
      </c>
      <c r="B13" t="s">
        <v>79</v>
      </c>
      <c r="C13">
        <f>C7/C8</f>
        <v>1.6666666666666667</v>
      </c>
    </row>
    <row r="14" spans="1:3">
      <c r="A14" t="s">
        <v>78</v>
      </c>
      <c r="C14">
        <f>C10*C9/200</f>
        <v>0.04</v>
      </c>
    </row>
    <row r="15" spans="1:3">
      <c r="A15" t="s">
        <v>80</v>
      </c>
      <c r="B15" s="17"/>
      <c r="C15">
        <f>1/(2.72*C16*POWER(C7,1/3))</f>
        <v>0.15294733993028703</v>
      </c>
    </row>
    <row r="16" spans="1:3">
      <c r="A16" t="s">
        <v>71</v>
      </c>
      <c r="B16" s="17" t="s">
        <v>77</v>
      </c>
      <c r="C16">
        <f>C11*C13*POWER(C14,1/3)/C4</f>
        <v>0.5699919822255658</v>
      </c>
    </row>
    <row r="17" spans="1:3">
      <c r="A17" t="s">
        <v>80</v>
      </c>
      <c r="B17" t="s">
        <v>81</v>
      </c>
      <c r="C17">
        <f>(1-C15)/(1+C3/C4*C15)</f>
        <v>2.2095007593996483E-3</v>
      </c>
    </row>
    <row r="18" spans="1:3">
      <c r="A18" t="s">
        <v>82</v>
      </c>
      <c r="B18" t="s">
        <v>83</v>
      </c>
      <c r="C18">
        <f>C17*C3/C4*(C5-C6)+C5</f>
        <v>0.8523751898499119</v>
      </c>
    </row>
  </sheetData>
  <pageMargins left="0.7" right="0.7" top="0.75" bottom="0.75" header="0.3" footer="0.3"/>
  <pageSetup paperSize="9" orientation="portrait" r:id="rId1"/>
  <legacyDrawing r:id="rId2"/>
  <oleObjects>
    <oleObject progId="Equation.3" shapeId="103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A7" workbookViewId="0">
      <selection activeCell="L20" sqref="L20"/>
    </sheetView>
  </sheetViews>
  <sheetFormatPr defaultRowHeight="15"/>
  <cols>
    <col min="1" max="1" width="28.28515625" customWidth="1"/>
    <col min="2" max="3" width="12" bestFit="1" customWidth="1"/>
    <col min="4" max="4" width="10" bestFit="1" customWidth="1"/>
  </cols>
  <sheetData>
    <row r="1" spans="1:10">
      <c r="A1" s="18" t="s">
        <v>84</v>
      </c>
      <c r="B1" s="18"/>
      <c r="C1" s="18"/>
      <c r="D1" s="18"/>
    </row>
    <row r="2" spans="1:10">
      <c r="A2" t="s">
        <v>85</v>
      </c>
      <c r="B2">
        <f>18/1000000</f>
        <v>1.8E-5</v>
      </c>
    </row>
    <row r="3" spans="1:10">
      <c r="A3" t="s">
        <v>86</v>
      </c>
      <c r="B3">
        <f>1.29</f>
        <v>1.29</v>
      </c>
    </row>
    <row r="4" spans="1:10">
      <c r="A4" t="s">
        <v>87</v>
      </c>
      <c r="B4">
        <v>5400</v>
      </c>
    </row>
    <row r="5" spans="1:10">
      <c r="A5" t="s">
        <v>88</v>
      </c>
      <c r="B5">
        <f>0</f>
        <v>0</v>
      </c>
      <c r="C5">
        <f>1/100000000</f>
        <v>1E-8</v>
      </c>
      <c r="D5">
        <f>1/10000000</f>
        <v>9.9999999999999995E-8</v>
      </c>
      <c r="E5">
        <f>1/1000000</f>
        <v>9.9999999999999995E-7</v>
      </c>
      <c r="F5">
        <f>1/100000</f>
        <v>1.0000000000000001E-5</v>
      </c>
    </row>
    <row r="6" spans="1:10">
      <c r="A6" t="s">
        <v>89</v>
      </c>
      <c r="B6">
        <f>(B5*B5*($B$4-$B$3)*9.8)/(4.5*$B$2)</f>
        <v>0</v>
      </c>
      <c r="C6">
        <f t="shared" ref="C6" si="0">(C5*C5*($B$4-$B$3))/(9.8*$B$2)</f>
        <v>3.0604931972789119E-9</v>
      </c>
      <c r="D6">
        <f t="shared" ref="D6" si="1">(D5*D5*($B$4-$B$3))/(9.8*$B$2)</f>
        <v>3.0604931972789113E-7</v>
      </c>
      <c r="E6">
        <f t="shared" ref="E6" si="2">(E5*E5*($B$4-$B$3))/(9.8*$B$2)</f>
        <v>3.0604931972789117E-5</v>
      </c>
      <c r="F6">
        <f t="shared" ref="F6" si="3">(F5*F5*($B$4-$B$3))/(9.8*$B$2)</f>
        <v>3.0604931972789116E-3</v>
      </c>
    </row>
    <row r="7" spans="1:10">
      <c r="A7" t="s">
        <v>90</v>
      </c>
      <c r="B7">
        <v>0</v>
      </c>
      <c r="C7">
        <f>LOG(C5)</f>
        <v>-8</v>
      </c>
      <c r="D7">
        <f t="shared" ref="D7:F7" si="4">LOG(D5)</f>
        <v>-7</v>
      </c>
      <c r="E7">
        <f t="shared" si="4"/>
        <v>-6</v>
      </c>
      <c r="F7">
        <f t="shared" si="4"/>
        <v>-5</v>
      </c>
    </row>
    <row r="8" spans="1:10">
      <c r="A8" s="18" t="s">
        <v>91</v>
      </c>
      <c r="B8" s="18"/>
    </row>
    <row r="9" spans="1:10">
      <c r="A9" t="s">
        <v>92</v>
      </c>
      <c r="B9">
        <f>1250+273</f>
        <v>1523</v>
      </c>
      <c r="C9">
        <f>B9+200</f>
        <v>1723</v>
      </c>
      <c r="D9">
        <f t="shared" ref="D9:J9" si="5">C9+200</f>
        <v>1923</v>
      </c>
      <c r="E9">
        <f t="shared" si="5"/>
        <v>2123</v>
      </c>
      <c r="F9">
        <f t="shared" si="5"/>
        <v>2323</v>
      </c>
      <c r="G9">
        <f t="shared" si="5"/>
        <v>2523</v>
      </c>
      <c r="H9">
        <f t="shared" si="5"/>
        <v>2723</v>
      </c>
      <c r="I9">
        <f t="shared" si="5"/>
        <v>2923</v>
      </c>
      <c r="J9">
        <f t="shared" si="5"/>
        <v>3123</v>
      </c>
    </row>
    <row r="10" spans="1:10">
      <c r="A10" t="s">
        <v>93</v>
      </c>
      <c r="B10">
        <v>273</v>
      </c>
      <c r="C10">
        <f>B10+200</f>
        <v>473</v>
      </c>
      <c r="D10">
        <f t="shared" ref="D10:J10" si="6">C10+200</f>
        <v>673</v>
      </c>
      <c r="E10">
        <f t="shared" si="6"/>
        <v>873</v>
      </c>
      <c r="F10">
        <f t="shared" si="6"/>
        <v>1073</v>
      </c>
      <c r="G10">
        <f t="shared" si="6"/>
        <v>1273</v>
      </c>
      <c r="H10">
        <f t="shared" si="6"/>
        <v>1473</v>
      </c>
      <c r="I10">
        <f t="shared" si="6"/>
        <v>1673</v>
      </c>
      <c r="J10">
        <f t="shared" si="6"/>
        <v>1873</v>
      </c>
    </row>
    <row r="11" spans="1:10">
      <c r="A11" t="s">
        <v>96</v>
      </c>
      <c r="B11">
        <v>3</v>
      </c>
    </row>
    <row r="12" spans="1:10">
      <c r="A12" t="s">
        <v>97</v>
      </c>
      <c r="B12">
        <v>7</v>
      </c>
    </row>
    <row r="13" spans="1:10">
      <c r="A13" t="s">
        <v>108</v>
      </c>
      <c r="B13">
        <f>3.14*B11*B11/4</f>
        <v>7.0649999999999995</v>
      </c>
    </row>
    <row r="14" spans="1:10">
      <c r="A14" t="s">
        <v>109</v>
      </c>
      <c r="B14">
        <f>3.14*B12*B12/4</f>
        <v>38.465000000000003</v>
      </c>
    </row>
    <row r="15" spans="1:10">
      <c r="A15" t="s">
        <v>94</v>
      </c>
      <c r="B15">
        <f>65*1.25*1873/273*400/20/60</f>
        <v>185.81349206349205</v>
      </c>
    </row>
    <row r="16" spans="1:10">
      <c r="A16" t="s">
        <v>95</v>
      </c>
      <c r="B16">
        <v>3</v>
      </c>
    </row>
    <row r="17" spans="1:18">
      <c r="A17" t="s">
        <v>98</v>
      </c>
      <c r="B17">
        <f>(-18504/B9)+11.15</f>
        <v>-0.99970453053184549</v>
      </c>
      <c r="C17">
        <f>-18504/C9+11.15</f>
        <v>0.41059199071387198</v>
      </c>
      <c r="D17">
        <f>-18504/D9+11.15</f>
        <v>1.527535101404057</v>
      </c>
      <c r="E17">
        <f>-18504/E9+11.15</f>
        <v>2.434032030146021</v>
      </c>
      <c r="F17">
        <f>-18504/F9+11.15</f>
        <v>3.1844382264313396</v>
      </c>
      <c r="G17">
        <f>-18504/G9+11.15</f>
        <v>3.8158739595719382</v>
      </c>
      <c r="H17">
        <f t="shared" ref="H17:J17" si="7">-18504/H9+11.15</f>
        <v>4.3545538009548297</v>
      </c>
      <c r="I17">
        <f t="shared" si="7"/>
        <v>4.8195176188847082</v>
      </c>
      <c r="J17">
        <f t="shared" si="7"/>
        <v>5.2249279538904903</v>
      </c>
    </row>
    <row r="18" spans="1:18">
      <c r="A18" t="s">
        <v>104</v>
      </c>
      <c r="B18">
        <f>-18504/B10+11.15</f>
        <v>-56.630219780219782</v>
      </c>
      <c r="C18">
        <f>-18504/C10+11.15</f>
        <v>-27.970507399577166</v>
      </c>
      <c r="D18">
        <f>-18504/D10+11.15</f>
        <v>-16.344799405646356</v>
      </c>
      <c r="E18">
        <f>-18504/E10+11.15</f>
        <v>-10.045876288659793</v>
      </c>
      <c r="F18">
        <f>-18504/F10+11.15</f>
        <v>-6.0951071761416582</v>
      </c>
      <c r="G18">
        <f>-18504/G10+11.15</f>
        <v>-3.385742340926944</v>
      </c>
      <c r="H18">
        <f t="shared" ref="H18:J18" si="8">-18504/H10+11.15</f>
        <v>-1.4121181262729117</v>
      </c>
      <c r="I18">
        <f t="shared" si="8"/>
        <v>8.962940824865484E-2</v>
      </c>
      <c r="J18">
        <f t="shared" si="8"/>
        <v>1.2706620395088102</v>
      </c>
    </row>
    <row r="19" spans="1:18">
      <c r="A19" t="s">
        <v>101</v>
      </c>
      <c r="B19">
        <f>POWER(10,B17)</f>
        <v>0.10006805750790032</v>
      </c>
      <c r="C19">
        <f>POWER(10,C17)</f>
        <v>2.5739019014438682</v>
      </c>
      <c r="D19">
        <f t="shared" ref="D19:J19" si="9">POWER(10,D17)</f>
        <v>33.692644637393329</v>
      </c>
      <c r="E19">
        <f t="shared" si="9"/>
        <v>271.66396194275762</v>
      </c>
      <c r="F19">
        <f t="shared" si="9"/>
        <v>1529.1082322792615</v>
      </c>
      <c r="G19">
        <f t="shared" si="9"/>
        <v>6544.4621390169114</v>
      </c>
      <c r="H19">
        <f t="shared" si="9"/>
        <v>22623.187813495839</v>
      </c>
      <c r="I19">
        <f t="shared" si="9"/>
        <v>65996.000762567506</v>
      </c>
      <c r="J19">
        <f t="shared" si="9"/>
        <v>167852.55405657782</v>
      </c>
    </row>
    <row r="20" spans="1:18">
      <c r="A20" t="s">
        <v>102</v>
      </c>
      <c r="B20">
        <f>POWER(10,B18)</f>
        <v>2.3430427887822883E-57</v>
      </c>
      <c r="C20">
        <f>POWER(10,C18)</f>
        <v>1.0702681473602984E-28</v>
      </c>
      <c r="D20">
        <f t="shared" ref="D20:F20" si="10">POWER(10,D18)</f>
        <v>4.5206469832114659E-17</v>
      </c>
      <c r="E20">
        <f t="shared" si="10"/>
        <v>8.9975384520956702E-11</v>
      </c>
      <c r="F20">
        <f t="shared" si="10"/>
        <v>8.0332785071852801E-7</v>
      </c>
      <c r="G20">
        <f>POWER(10,G18)</f>
        <v>4.1139372118223732E-4</v>
      </c>
      <c r="H20">
        <f t="shared" ref="H20:J20" si="11">POWER(10,H18)</f>
        <v>3.8715232679427232E-2</v>
      </c>
      <c r="I20">
        <f t="shared" si="11"/>
        <v>1.2292194068279916</v>
      </c>
      <c r="J20">
        <f t="shared" si="11"/>
        <v>18.649278712452322</v>
      </c>
      <c r="L20" t="s">
        <v>110</v>
      </c>
    </row>
    <row r="21" spans="1:18">
      <c r="A21" t="s">
        <v>106</v>
      </c>
      <c r="B21">
        <f>POWER(56/(2*3.14*8314*B9),0.5)</f>
        <v>8.3918793210194741E-4</v>
      </c>
      <c r="C21">
        <f t="shared" ref="C21:J21" si="12">POWER(56/(2*3.14*8314*C9),0.5)</f>
        <v>7.8898099643455954E-4</v>
      </c>
      <c r="D21">
        <f t="shared" si="12"/>
        <v>7.4682618978196274E-4</v>
      </c>
      <c r="E21">
        <f t="shared" si="12"/>
        <v>7.1077833944878496E-4</v>
      </c>
      <c r="F21">
        <f t="shared" si="12"/>
        <v>6.794923578485588E-4</v>
      </c>
      <c r="G21">
        <f t="shared" si="12"/>
        <v>6.520044446589353E-4</v>
      </c>
      <c r="H21">
        <f t="shared" si="12"/>
        <v>6.2760350577695636E-4</v>
      </c>
      <c r="I21">
        <f t="shared" si="12"/>
        <v>6.0575188445074471E-4</v>
      </c>
      <c r="J21">
        <f t="shared" si="12"/>
        <v>5.8603450760661335E-4</v>
      </c>
      <c r="M21">
        <v>0</v>
      </c>
      <c r="N21">
        <v>300</v>
      </c>
      <c r="O21">
        <v>600</v>
      </c>
      <c r="P21">
        <v>900</v>
      </c>
      <c r="Q21">
        <v>1100</v>
      </c>
      <c r="R21">
        <v>1400</v>
      </c>
    </row>
    <row r="22" spans="1:18">
      <c r="A22" t="s">
        <v>107</v>
      </c>
      <c r="B22">
        <f>POWER(56/(2*3.14*8314*B10),0.5)</f>
        <v>1.9821104811526451E-3</v>
      </c>
      <c r="C22">
        <f t="shared" ref="C22:J22" si="13">POWER(56/(2*3.14*8314*C10),0.5)</f>
        <v>1.5058392439534856E-3</v>
      </c>
      <c r="D22">
        <f t="shared" si="13"/>
        <v>1.2624135560667636E-3</v>
      </c>
      <c r="E22">
        <f t="shared" si="13"/>
        <v>1.108414145797959E-3</v>
      </c>
      <c r="F22">
        <f t="shared" si="13"/>
        <v>9.9979122468461736E-4</v>
      </c>
      <c r="G22">
        <f t="shared" si="13"/>
        <v>9.1789917543405337E-4</v>
      </c>
      <c r="H22">
        <f t="shared" si="13"/>
        <v>8.533119116491E-4</v>
      </c>
      <c r="I22">
        <f t="shared" si="13"/>
        <v>8.0068411235875714E-4</v>
      </c>
      <c r="J22">
        <f t="shared" si="13"/>
        <v>7.567288522066384E-4</v>
      </c>
      <c r="M22">
        <v>6.9228703493929796E-4</v>
      </c>
      <c r="N22">
        <v>2.0389640218482302E-2</v>
      </c>
      <c r="O22">
        <v>0.29334480958852449</v>
      </c>
      <c r="P22">
        <v>2.5289484909882005</v>
      </c>
      <c r="Q22">
        <v>14.961434880793416</v>
      </c>
      <c r="R22">
        <v>66.493346593805825</v>
      </c>
    </row>
    <row r="23" spans="1:18">
      <c r="A23" t="s">
        <v>105</v>
      </c>
      <c r="B23">
        <f>0.5*(B21*B19-B22*B20)</f>
        <v>4.1987953124756809E-5</v>
      </c>
      <c r="C23">
        <f t="shared" ref="C23:G23" si="14">0.5*(C21*C19-C22*C20)</f>
        <v>1.0153798434629953E-3</v>
      </c>
      <c r="D23">
        <f>0.5*(D21*D19-D22*D20)</f>
        <v>1.258127470911107E-2</v>
      </c>
      <c r="E23">
        <f t="shared" si="14"/>
        <v>9.6546429878825724E-2</v>
      </c>
      <c r="F23">
        <f>0.5*(F21*F19-F22*F20)</f>
        <v>0.51950867867695849</v>
      </c>
      <c r="G23">
        <f t="shared" si="14"/>
        <v>2.1335090124615959</v>
      </c>
      <c r="H23">
        <f t="shared" ref="H23" si="15">0.5*(H21*H19-H22*H20)</f>
        <v>7.0991794737156484</v>
      </c>
      <c r="I23">
        <f t="shared" ref="I23" si="16">0.5*(I21*I19-I22*I20)</f>
        <v>19.988108805844199</v>
      </c>
      <c r="J23">
        <f t="shared" ref="J23" si="17">0.5*(J21*J19-J22*J20)</f>
        <v>49.176638209892239</v>
      </c>
    </row>
    <row r="24" spans="1:18">
      <c r="A24" t="s">
        <v>113</v>
      </c>
      <c r="B24">
        <f>$B$2*(273+120)/(B10+120)* POWER((B10/273),3/2)</f>
        <v>1.8E-5</v>
      </c>
      <c r="C24">
        <f t="shared" ref="C24:J24" si="18">$B$2*(273+120)/(C10+120)* POWER((C10/273),3/2)</f>
        <v>2.7205587111734488E-5</v>
      </c>
      <c r="D24">
        <f t="shared" si="18"/>
        <v>3.4527926135865314E-5</v>
      </c>
      <c r="E24">
        <f t="shared" si="18"/>
        <v>4.073739011231188E-5</v>
      </c>
      <c r="F24">
        <f t="shared" si="18"/>
        <v>4.6204069047756635E-5</v>
      </c>
      <c r="G24">
        <f t="shared" si="18"/>
        <v>5.1134330482901267E-5</v>
      </c>
      <c r="H24">
        <f t="shared" si="18"/>
        <v>5.5655671805914286E-5</v>
      </c>
      <c r="I24">
        <f t="shared" si="18"/>
        <v>5.9852832340134284E-5</v>
      </c>
      <c r="J24">
        <f t="shared" si="18"/>
        <v>6.3785277940622124E-5</v>
      </c>
      <c r="M24">
        <f>6.92287034939298E-10*1000000</f>
        <v>6.9228703493929796E-4</v>
      </c>
      <c r="N24">
        <v>2.0389640218482302E-8</v>
      </c>
      <c r="O24">
        <v>2.9334480958852451E-7</v>
      </c>
      <c r="P24">
        <v>2.5289484909882007E-6</v>
      </c>
      <c r="Q24">
        <v>1.4961434880793416E-5</v>
      </c>
      <c r="R24">
        <v>6.6493346593805822E-5</v>
      </c>
    </row>
    <row r="25" spans="1:18">
      <c r="A25" t="s">
        <v>99</v>
      </c>
      <c r="B25">
        <f>1.38*B10/(B24)/10000000000000</f>
        <v>2.0929999999999997E-6</v>
      </c>
      <c r="C25">
        <f t="shared" ref="C25:G25" si="19">1.38*C10/(C24)/10000000000000</f>
        <v>2.3992865778605304E-6</v>
      </c>
      <c r="D25">
        <f t="shared" si="19"/>
        <v>2.6898227143601496E-6</v>
      </c>
      <c r="E25">
        <f t="shared" si="19"/>
        <v>2.9573323098965457E-6</v>
      </c>
      <c r="F25">
        <f t="shared" si="19"/>
        <v>3.2047826750269621E-6</v>
      </c>
      <c r="G25">
        <f t="shared" si="19"/>
        <v>3.435539261802662E-6</v>
      </c>
      <c r="H25">
        <f t="shared" ref="H25" si="20">1.38*H10/(H24)/10000000000000</f>
        <v>3.6523501272048062E-6</v>
      </c>
      <c r="I25">
        <f t="shared" ref="I25" si="21">1.38*I10/(I24)/10000000000000</f>
        <v>3.8573613139638763E-6</v>
      </c>
      <c r="J25">
        <f t="shared" ref="J25" si="22">1.38*J10/(J24)/10000000000000</f>
        <v>4.0522516847949478E-6</v>
      </c>
      <c r="M25">
        <f>M24</f>
        <v>6.9228703493929796E-4</v>
      </c>
      <c r="N25">
        <f>N24*1000000</f>
        <v>2.0389640218482302E-2</v>
      </c>
      <c r="O25">
        <f>O24*1000000</f>
        <v>0.29334480958852449</v>
      </c>
      <c r="P25">
        <f>P24*1000000</f>
        <v>2.5289484909882005</v>
      </c>
      <c r="Q25">
        <f>Q24*1000000</f>
        <v>14.961434880793416</v>
      </c>
      <c r="R25">
        <f>R24*1000000</f>
        <v>66.493346593805825</v>
      </c>
    </row>
    <row r="26" spans="1:18">
      <c r="A26" t="s">
        <v>100</v>
      </c>
      <c r="B26">
        <f>B23*$B$13/$B$15</f>
        <v>1.5964658192045814E-6</v>
      </c>
      <c r="C26">
        <f t="shared" ref="C26:J26" si="23">C23*$B$13/$B$15</f>
        <v>3.8606769155464976E-5</v>
      </c>
      <c r="D26">
        <f t="shared" si="23"/>
        <v>4.7836518668675212E-4</v>
      </c>
      <c r="E26">
        <f t="shared" si="23"/>
        <v>3.670888047574239E-3</v>
      </c>
      <c r="F26">
        <f t="shared" si="23"/>
        <v>1.9752757316452395E-2</v>
      </c>
      <c r="G26">
        <f t="shared" si="23"/>
        <v>8.1120272837295809E-2</v>
      </c>
      <c r="H26">
        <f t="shared" si="23"/>
        <v>0.26992497920798431</v>
      </c>
      <c r="I26">
        <f t="shared" si="23"/>
        <v>0.75998780898556095</v>
      </c>
      <c r="J26">
        <f t="shared" si="23"/>
        <v>1.8697939804832449</v>
      </c>
    </row>
    <row r="27" spans="1:18">
      <c r="A27" t="s">
        <v>103</v>
      </c>
      <c r="B27">
        <f>B19/8134/B10</f>
        <v>4.5063887533943953E-8</v>
      </c>
      <c r="C27">
        <f t="shared" ref="C27:J27" si="24">C19/8134/C10</f>
        <v>6.6900086901791099E-7</v>
      </c>
      <c r="D27">
        <f t="shared" si="24"/>
        <v>6.1548272668671461E-6</v>
      </c>
      <c r="E27">
        <f t="shared" si="24"/>
        <v>3.825723849782433E-5</v>
      </c>
      <c r="F27">
        <f t="shared" si="24"/>
        <v>1.7520009462647688E-4</v>
      </c>
      <c r="G27">
        <f t="shared" si="24"/>
        <v>6.3203537709362984E-4</v>
      </c>
      <c r="H27">
        <f t="shared" si="24"/>
        <v>1.8881951859556633E-3</v>
      </c>
      <c r="I27">
        <f t="shared" si="24"/>
        <v>4.8497294320848667E-3</v>
      </c>
      <c r="J27">
        <f t="shared" si="24"/>
        <v>1.1017574819358358E-2</v>
      </c>
    </row>
    <row r="28" spans="1:18">
      <c r="A28" t="s">
        <v>111</v>
      </c>
      <c r="B28">
        <f>B16*B14/B15</f>
        <v>0.62102594767752284</v>
      </c>
    </row>
    <row r="29" spans="1:18">
      <c r="A29" t="s">
        <v>112</v>
      </c>
      <c r="B29">
        <f>B25*(B26-B27)*$B$28</f>
        <v>2.0165235691895324E-12</v>
      </c>
      <c r="C29">
        <f>C25*(C26-C27)*$B$28</f>
        <v>5.6528003939765201E-11</v>
      </c>
      <c r="D29">
        <f>D25*(D26-D27)*$B$28</f>
        <v>7.8880365335735419E-10</v>
      </c>
      <c r="E29">
        <f>E25*(E26-E27)*$B$28</f>
        <v>6.6716174558711871E-9</v>
      </c>
      <c r="F29">
        <f>F25*(F26-F27)*$B$28</f>
        <v>3.896429586700905E-8</v>
      </c>
      <c r="G29">
        <f>G25*(G26-G27)*$B$28</f>
        <v>1.7172640550751652E-7</v>
      </c>
      <c r="H29">
        <f t="shared" ref="H29:J29" si="25">H25*(H26-H27)*$B$28</f>
        <v>6.0796215900454761E-7</v>
      </c>
      <c r="I29">
        <f t="shared" si="25"/>
        <v>1.8089494790162725E-6</v>
      </c>
      <c r="J29">
        <f>J25*(J26-J27)*$B$28</f>
        <v>4.6777101630272658E-6</v>
      </c>
    </row>
    <row r="30" spans="1:18">
      <c r="B30">
        <v>0</v>
      </c>
      <c r="C30">
        <v>300</v>
      </c>
      <c r="D30">
        <v>600</v>
      </c>
      <c r="E30">
        <v>900</v>
      </c>
      <c r="F30">
        <v>1100</v>
      </c>
      <c r="G30">
        <v>1400</v>
      </c>
      <c r="M30">
        <f>400/7.8</f>
        <v>51.282051282051285</v>
      </c>
      <c r="N30">
        <f xml:space="preserve"> POWER(M30,0.33)</f>
        <v>3.6668114452763136</v>
      </c>
    </row>
    <row r="31" spans="1:18">
      <c r="A31" t="s">
        <v>114</v>
      </c>
      <c r="B31">
        <f>45*32/28</f>
        <v>51.428571428571431</v>
      </c>
      <c r="D31">
        <f>C31*400</f>
        <v>0</v>
      </c>
      <c r="E31">
        <f>D31/20/60</f>
        <v>0</v>
      </c>
      <c r="F31">
        <f>E31*1873/273</f>
        <v>0</v>
      </c>
      <c r="M31">
        <f>3.14*7</f>
        <v>21.98</v>
      </c>
      <c r="N31">
        <f>M30/M31</f>
        <v>2.3331233522316324</v>
      </c>
    </row>
    <row r="32" spans="1:18">
      <c r="B32">
        <f>45*400*C32</f>
        <v>22500</v>
      </c>
      <c r="C32">
        <f>28/22.4</f>
        <v>1.25</v>
      </c>
    </row>
    <row r="33" spans="2:2">
      <c r="B33">
        <f>B32/20/60</f>
        <v>18.75</v>
      </c>
    </row>
    <row r="34" spans="2:2">
      <c r="B34">
        <f>B33*1873/273</f>
        <v>128.6401098901099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БИВ</dc:creator>
  <cp:lastModifiedBy>111</cp:lastModifiedBy>
  <dcterms:created xsi:type="dcterms:W3CDTF">2013-09-14T14:49:56Z</dcterms:created>
  <dcterms:modified xsi:type="dcterms:W3CDTF">2014-01-15T14:44:07Z</dcterms:modified>
</cp:coreProperties>
</file>